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codeName="ThisWorkbook"/>
  <mc:AlternateContent xmlns:mc="http://schemas.openxmlformats.org/markup-compatibility/2006">
    <mc:Choice Requires="x15">
      <x15ac:absPath xmlns:x15ac="http://schemas.microsoft.com/office/spreadsheetml/2010/11/ac" url="https://spcss365-my.sharepoint.com/personal/judita_jamrichova_spcss_cz/Documents/Desktop/07 eGC 2023/"/>
    </mc:Choice>
  </mc:AlternateContent>
  <xr:revisionPtr revIDLastSave="187" documentId="8_{6676C142-9515-45B1-B436-25F05CF12EB2}" xr6:coauthVersionLast="47" xr6:coauthVersionMax="47" xr10:uidLastSave="{C5E356E4-179C-4482-960D-09CAD7D81885}"/>
  <bookViews>
    <workbookView xWindow="-28920" yWindow="-120" windowWidth="29040" windowHeight="17520" tabRatio="875" activeTab="6" xr2:uid="{00000000-000D-0000-FFFF-FFFF00000000}"/>
  </bookViews>
  <sheets>
    <sheet name="1.Úvodní parametry" sheetId="1" r:id="rId1"/>
    <sheet name="tabulky-schovat" sheetId="8" state="hidden" r:id="rId2"/>
    <sheet name="2. Vstupní data on-premise " sheetId="6" r:id="rId3"/>
    <sheet name="3. Vstupní data cloud" sheetId="5" r:id="rId4"/>
    <sheet name="4. Kalkulace TCO a Porovnání" sheetId="7" r:id="rId5"/>
    <sheet name="5. Finanční porovnání souhrn" sheetId="9" r:id="rId6"/>
    <sheet name="6. Použité zkratky a pojmy" sheetId="10" r:id="rId7"/>
  </sheets>
  <externalReferences>
    <externalReference r:id="rId8"/>
  </externalReferences>
  <definedNames>
    <definedName name="_xlnm._FilterDatabase" localSheetId="2" hidden="1">'2. Vstupní data on-premise '!$A$5:$R$5</definedName>
    <definedName name="AnoNe">'tabulky-schovat'!$A$1:$A$2</definedName>
    <definedName name="AntivirPoplatekRokUzivatel">'2. Vstupní data on-premise '!$F$17</definedName>
    <definedName name="AplikacniSWLicence">'2. Vstupní data on-premise '!$F$38</definedName>
    <definedName name="AplikacniSWMaintenance">'2. Vstupní data on-premise '!$F$39</definedName>
    <definedName name="ApliSWCloud">'3. Vstupní data cloud'!$F$53</definedName>
    <definedName name="ApliSWmaintenanceCloud">'3. Vstupní data cloud'!$F$54</definedName>
    <definedName name="BezpecDohled">'2. Vstupní data on-premise '!$F$148</definedName>
    <definedName name="BezpecProjekt">'2. Vstupní data on-premise '!$F$203</definedName>
    <definedName name="CelkemHodinPodpora">'2. Vstupní data on-premise '!$F$129</definedName>
    <definedName name="CelkemHodinProvoz">'2. Vstupní data on-premise '!$F$151</definedName>
    <definedName name="CelkemHodinRizeni">'2. Vstupní data on-premise '!$F$160</definedName>
    <definedName name="CelkemNakladyCloud">'4. Kalkulace TCO a Porovnání'!$J$8</definedName>
    <definedName name="CelkemNakladyOnpremise">'4. Kalkulace TCO a Porovnání'!$J$7</definedName>
    <definedName name="CenaCloudIaaSRok">'3. Vstupní data cloud'!$F$5</definedName>
    <definedName name="CenaCloudLicenceUzivatelRok">'3. Vstupní data cloud'!$F$5</definedName>
    <definedName name="CenaElektriny">'2. Vstupní data on-premise '!$F$115</definedName>
    <definedName name="cenaVlastnihoVyvoje">'2. Vstupní data on-premise '!$F$44</definedName>
    <definedName name="CenaXaaSrok">'3. Vstupní data cloud'!$F$8</definedName>
    <definedName name="DatabazovySW">'2. Vstupní data on-premise '!$F$22</definedName>
    <definedName name="DatabazovySWMaintenance">'2. Vstupní data on-premise '!$F$23</definedName>
    <definedName name="DélkaPro">'[1]1.Úvodní parametry'!$D$6</definedName>
    <definedName name="DelkaProjektu">'1.Úvodní parametry'!$D$7</definedName>
    <definedName name="DélkaProjektu">'tabulky-schovat'!$C$8:$C$12</definedName>
    <definedName name="DiskTab">'2. Vstupní data on-premise '!$F$73</definedName>
    <definedName name="DiskVelikost">'2. Vstupní data on-premise '!$F$72</definedName>
    <definedName name="EthernetPortCena">'2. Vstupní data on-premise '!#REF!</definedName>
    <definedName name="ExterKonzultaceAnalyza">'2. Vstupní data on-premise '!$F$205</definedName>
    <definedName name="ExterniKonektivita">'2. Vstupní data on-premise '!$F$83</definedName>
    <definedName name="ExterniPoradenstviVerejnaZakazka">'2. Vstupní data on-premise '!$F$170</definedName>
    <definedName name="Firewall">'2. Vstupní data on-premise '!$F$86</definedName>
    <definedName name="FirewallMaint">'2. Vstupní data on-premise '!$F$92</definedName>
    <definedName name="FTP">'1.Úvodní parametry'!$D$19</definedName>
    <definedName name="HodinovaSazbaIT">'1.Úvodní parametry'!$E$43</definedName>
    <definedName name="HodinSazbaIT2">'1.Úvodní parametry'!$E$44</definedName>
    <definedName name="HodinSazbaIT3">'1.Úvodní parametry'!$E$45</definedName>
    <definedName name="HWappliance">'2. Vstupní data on-premise '!$F$48</definedName>
    <definedName name="HWuzivateleCloud">'3. Vstupní data cloud'!$F$72</definedName>
    <definedName name="IntegracniSW">'2. Vstupní data on-premise '!$F$30</definedName>
    <definedName name="IntegracniSWMaintenance">'2. Vstupní data on-premise '!$F$31</definedName>
    <definedName name="InterniKonektivita">'2. Vstupní data on-premise '!$F$82</definedName>
    <definedName name="JenotkaMěny">'1.Úvodní parametry'!$D$23</definedName>
    <definedName name="JinyPrvek">'2. Vstupní data on-premise '!$F$89</definedName>
    <definedName name="JinyPrvekMaint">'2. Vstupní data on-premise '!$F$94</definedName>
    <definedName name="JinyPrvekPorizeni">'2. Vstupní data on-premise '!$F$81</definedName>
    <definedName name="KoncovyHWuziv">'2. Vstupní data on-premise '!$F$99</definedName>
    <definedName name="konektivitaCloud">'3. Vstupní data cloud'!$F$69</definedName>
    <definedName name="KurzCZKEUR">'1.Úvodní parametry'!$D$23</definedName>
    <definedName name="KurzCZKUSD">'1.Úvodní parametry'!#REF!</definedName>
    <definedName name="KyberBezpecCelkem">'2. Vstupní data on-premise '!$F$161</definedName>
    <definedName name="KyberBezpecCelkemCloud">'3. Vstupní data cloud'!#REF!</definedName>
    <definedName name="LoadBalancerPorizeni">'2. Vstupní data on-premise '!$F$79</definedName>
    <definedName name="maintenanceApliance">'2. Vstupní data on-premise '!$F$50</definedName>
    <definedName name="Měna">'1.Úvodní parametry'!$D$23</definedName>
    <definedName name="MěnaJednotka">'1.Úvodní parametry'!$D$23</definedName>
    <definedName name="MiddleJinySW">'2. Vstupní data on-premise '!$F$32</definedName>
    <definedName name="MiddleJinySWMaintenance">'2. Vstupní data on-premise '!$F$33</definedName>
    <definedName name="MiddlewareMaintenance">'2. Vstupní data on-premise '!#REF!</definedName>
    <definedName name="MiddlewareSW">'2. Vstupní data on-premise '!#REF!</definedName>
    <definedName name="NákladyDPH">'tabulky-schovat'!$A$14:$A$15</definedName>
    <definedName name="NarustDiskUloziste">'2. Vstupní data on-premise '!$F$65</definedName>
    <definedName name="_xlnm.Print_Area" localSheetId="0">'1.Úvodní parametry'!$A$2:$F$74</definedName>
    <definedName name="_xlnm.Print_Area" localSheetId="2">'2. Vstupní data on-premise '!$A$1:$H$332</definedName>
    <definedName name="_xlnm.Print_Area" localSheetId="3">'3. Vstupní data cloud'!$A$1:$G$199</definedName>
    <definedName name="_xlnm.Print_Area" localSheetId="4">'4. Kalkulace TCO a Porovnání'!$A$3:$K$234</definedName>
    <definedName name="OnExterniPoradenstviVerejnaZakazka">'2. Vstupní data on-premise '!$F$170</definedName>
    <definedName name="OnPremExterniPoradenstviVerejnaZakazka">'2. Vstupní data on-premise '!$F$170</definedName>
    <definedName name="OperacniSystem">'2. Vstupní data on-premise '!$F$6</definedName>
    <definedName name="OSPoplatekRok">'2. Vstupní data on-premise '!$F$7</definedName>
    <definedName name="PocetServeru">'2. Vstupní data on-premise '!#REF!</definedName>
    <definedName name="PocetUzivatelu">'1.Úvodní parametry'!$E$73</definedName>
    <definedName name="PočetLet">'tabulky-schovat'!$C$8:$C$12</definedName>
    <definedName name="pof">'2. Vstupní data on-premise '!$F$129</definedName>
    <definedName name="pr">'2. Vstupní data on-premise '!$F$151</definedName>
    <definedName name="ProcentoInterniZdrojePremiseNAKUP">'2. Vstupní data on-premise '!$F$170</definedName>
    <definedName name="RackUmisteni">'2. Vstupní data on-premise '!$F$111</definedName>
    <definedName name="RackyPorizeni">'2. Vstupní data on-premise '!$F$110</definedName>
    <definedName name="RouterPorizeni">'2. Vstupní data on-premise '!$F$78</definedName>
    <definedName name="SANCenaTB">'2. Vstupní data on-premise '!$F$68</definedName>
    <definedName name="SANPocetDisku">'2. Vstupní data on-premise '!$F$70</definedName>
    <definedName name="SANPocetJednotek">'2. Vstupní data on-premise '!$F$71</definedName>
    <definedName name="SANTbCena">'2. Vstupní data on-premise '!$F$69</definedName>
    <definedName name="ServerCena">'2. Vstupní data on-premise '!$F$58</definedName>
    <definedName name="ServerPocetJednotek">'2. Vstupní data on-premise '!#REF!</definedName>
    <definedName name="ServerUdrzba">'2. Vstupní data on-premise '!$F$59</definedName>
    <definedName name="SpotrebaElektrinyOstatni">'2. Vstupní data on-premise '!$F$118</definedName>
    <definedName name="SpotrebaElektrinyServerRok">'2. Vstupní data on-premise '!$F$116</definedName>
    <definedName name="SpotrebaElektrinyUlozisteRok">'2. Vstupní data on-premise '!$F$117</definedName>
    <definedName name="SWappliance">'2. Vstupní data on-premise '!$F$49</definedName>
    <definedName name="SWInfrastrukturaMaintenance">'2. Vstupní data on-premise '!$F$19</definedName>
    <definedName name="SWInfrastrukturaNakup">'2. Vstupní data on-premise '!$F$18</definedName>
    <definedName name="SwitchPorizeni">'2. Vstupní data on-premise '!$F$80</definedName>
    <definedName name="SWkoncovehoHW">'2. Vstupní data on-premise '!$F$100</definedName>
    <definedName name="SWkoncovehoUzivateleCloud">'3. Vstupní data cloud'!$F$73</definedName>
    <definedName name="tabulka">'tabulky-schovat'!$A$1:$A$2</definedName>
    <definedName name="Typrole">'tabulky-schovat'!$G$7:$G$9</definedName>
    <definedName name="VelikostDatabaze">'2. Vstupní data on-premise '!$F$64</definedName>
    <definedName name="VelikostUloziste">'2. Vstupní data on-premise '!$F$64</definedName>
    <definedName name="VyvojNakup">'2. Vstupní data on-premise '!$F$42</definedName>
    <definedName name="VyvojSW">'2. Vstupní data on-premise '!$F$26</definedName>
    <definedName name="vyvojSWmanten">'2. Vstupní data on-premise '!$F$27</definedName>
    <definedName name="WindowsPoplatekRokUzivatel">'2. Vstupní data on-premise '!$F$14</definedName>
    <definedName name="WindowsSrvPoplatekRok">'2. Vstupní data on-premise '!$F$12</definedName>
    <definedName name="ZalohaTbCena">'2. Vstupní data on-premise '!$F$75</definedName>
    <definedName name="ZalohaTBCenaHW">'2. Vstupní data on-premise '!$F$74</definedName>
    <definedName name="ZÁLOHATBcenaHW">'2. Vstupní data on-premise '!#REF!</definedName>
    <definedName name="ZivotHWaSWuzivatele">'2. Vstupní data on-premise '!$E$99</definedName>
    <definedName name="ZivotnostServeru">'2. Vstupní data on-premise '!$F$57</definedName>
    <definedName name="ZivotnostUzivatelskychZarizeni">'2. Vstupní data on-premise '!$D$99</definedName>
    <definedName name="ŽivotnostUživatelskýchZařízení">'tabulky-schovat'!$A$1:$A$2</definedName>
  </definedNames>
  <calcPr calcId="191028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7" i="1" l="1"/>
  <c r="D24" i="1"/>
  <c r="D198" i="7"/>
  <c r="D197" i="7"/>
  <c r="J60" i="5"/>
  <c r="J57" i="5"/>
  <c r="J59" i="5"/>
  <c r="J56" i="5"/>
  <c r="D59" i="5"/>
  <c r="C59" i="5"/>
  <c r="D56" i="5"/>
  <c r="C56" i="5"/>
  <c r="C188" i="5"/>
  <c r="F18" i="6"/>
  <c r="F19" i="6"/>
  <c r="J90" i="5"/>
  <c r="J92" i="5"/>
  <c r="J94" i="5"/>
  <c r="J96" i="5"/>
  <c r="J98" i="5"/>
  <c r="J100" i="5"/>
  <c r="J102" i="5"/>
  <c r="J104" i="5"/>
  <c r="J106" i="5"/>
  <c r="J108" i="5"/>
  <c r="J110" i="5"/>
  <c r="J112" i="5"/>
  <c r="J114" i="5"/>
  <c r="C90" i="5"/>
  <c r="C92" i="5"/>
  <c r="C94" i="5"/>
  <c r="C96" i="5"/>
  <c r="C98" i="5"/>
  <c r="C100" i="5"/>
  <c r="C102" i="5"/>
  <c r="C104" i="5"/>
  <c r="C106" i="5"/>
  <c r="C108" i="5"/>
  <c r="C110" i="5"/>
  <c r="C112" i="5"/>
  <c r="C114" i="5"/>
  <c r="C117" i="5"/>
  <c r="J201" i="6"/>
  <c r="J199" i="6"/>
  <c r="J197" i="6"/>
  <c r="J195" i="6"/>
  <c r="J193" i="6"/>
  <c r="J191" i="6"/>
  <c r="J189" i="6"/>
  <c r="J187" i="6"/>
  <c r="J185" i="6"/>
  <c r="J183" i="6"/>
  <c r="J181" i="6"/>
  <c r="J179" i="6"/>
  <c r="C204" i="6"/>
  <c r="C201" i="6"/>
  <c r="C199" i="6"/>
  <c r="C197" i="6"/>
  <c r="C195" i="6"/>
  <c r="C193" i="6"/>
  <c r="C191" i="6"/>
  <c r="C189" i="6"/>
  <c r="C187" i="6"/>
  <c r="C185" i="6"/>
  <c r="C183" i="6"/>
  <c r="C181" i="6"/>
  <c r="C179" i="6"/>
  <c r="J177" i="6"/>
  <c r="C177" i="6"/>
  <c r="C36" i="5" l="1"/>
  <c r="C148" i="6"/>
  <c r="C133" i="6"/>
  <c r="D32" i="1"/>
  <c r="D31" i="1"/>
  <c r="C7" i="5" s="1"/>
  <c r="D30" i="1"/>
  <c r="C257" i="6" s="1"/>
  <c r="D28" i="1"/>
  <c r="C115" i="6" s="1"/>
  <c r="D27" i="1"/>
  <c r="C62" i="1" s="1"/>
  <c r="D25" i="1"/>
  <c r="C44" i="1" s="1"/>
  <c r="C110" i="6"/>
  <c r="C109" i="6"/>
  <c r="C108" i="6"/>
  <c r="C107" i="6"/>
  <c r="C100" i="6"/>
  <c r="C99" i="6"/>
  <c r="C95" i="6"/>
  <c r="C90" i="6"/>
  <c r="C89" i="6"/>
  <c r="C88" i="6"/>
  <c r="C87" i="6"/>
  <c r="C86" i="6"/>
  <c r="C81" i="6"/>
  <c r="C80" i="6"/>
  <c r="C79" i="6"/>
  <c r="C78" i="6"/>
  <c r="C74" i="6"/>
  <c r="C71" i="6"/>
  <c r="C70" i="6"/>
  <c r="C68" i="6"/>
  <c r="C65" i="6"/>
  <c r="C60" i="6"/>
  <c r="C58" i="6"/>
  <c r="C57" i="6"/>
  <c r="C51" i="6"/>
  <c r="C49" i="6"/>
  <c r="C48" i="6"/>
  <c r="C44" i="6"/>
  <c r="C43" i="6"/>
  <c r="C42" i="6"/>
  <c r="C38" i="6"/>
  <c r="C34" i="6"/>
  <c r="C32" i="6"/>
  <c r="C30" i="6"/>
  <c r="C26" i="6"/>
  <c r="C22" i="6"/>
  <c r="C18" i="6"/>
  <c r="C16" i="6"/>
  <c r="C14" i="6"/>
  <c r="C12" i="6"/>
  <c r="C10" i="6"/>
  <c r="C8" i="6"/>
  <c r="C6" i="6"/>
  <c r="D29" i="1"/>
  <c r="C256" i="6" s="1"/>
  <c r="F8" i="5"/>
  <c r="B5" i="9"/>
  <c r="B4" i="9"/>
  <c r="D230" i="7"/>
  <c r="D229" i="7"/>
  <c r="D222" i="7"/>
  <c r="D221" i="7"/>
  <c r="D220" i="7"/>
  <c r="D218" i="7"/>
  <c r="D216" i="7"/>
  <c r="D215" i="7"/>
  <c r="D214" i="7"/>
  <c r="D211" i="7"/>
  <c r="D210" i="7"/>
  <c r="D212" i="7"/>
  <c r="D209" i="7"/>
  <c r="D207" i="7"/>
  <c r="D205" i="7"/>
  <c r="D204" i="7"/>
  <c r="D203" i="7"/>
  <c r="D202" i="7"/>
  <c r="D199" i="7"/>
  <c r="D195" i="7"/>
  <c r="D200" i="7"/>
  <c r="D196" i="7"/>
  <c r="D194" i="7"/>
  <c r="D192" i="7"/>
  <c r="D191" i="7"/>
  <c r="D188" i="7"/>
  <c r="D186" i="7"/>
  <c r="D185" i="7"/>
  <c r="D184" i="7"/>
  <c r="D183" i="7"/>
  <c r="D182" i="7"/>
  <c r="D181" i="7"/>
  <c r="D190" i="7"/>
  <c r="D189" i="7"/>
  <c r="D187" i="7"/>
  <c r="D180" i="7"/>
  <c r="D179" i="7"/>
  <c r="D178" i="7"/>
  <c r="D177" i="7"/>
  <c r="D176" i="7"/>
  <c r="D175" i="7"/>
  <c r="D174" i="7"/>
  <c r="D173" i="7"/>
  <c r="D171" i="7"/>
  <c r="D170" i="7"/>
  <c r="D169" i="7"/>
  <c r="D168" i="7"/>
  <c r="D167" i="7"/>
  <c r="D166" i="7"/>
  <c r="D165" i="7"/>
  <c r="D164" i="7"/>
  <c r="D163" i="7"/>
  <c r="D162" i="7"/>
  <c r="D161" i="7"/>
  <c r="D160" i="7"/>
  <c r="D159" i="7"/>
  <c r="D157" i="7"/>
  <c r="D156" i="7"/>
  <c r="D155" i="7"/>
  <c r="D154" i="7"/>
  <c r="D153" i="7"/>
  <c r="D152" i="7"/>
  <c r="D151" i="7"/>
  <c r="D150" i="7"/>
  <c r="D148" i="7"/>
  <c r="D147" i="7"/>
  <c r="D219" i="7"/>
  <c r="D217" i="7"/>
  <c r="D213" i="7"/>
  <c r="D208" i="7"/>
  <c r="D206" i="7"/>
  <c r="D201" i="7"/>
  <c r="D193" i="7"/>
  <c r="D172" i="7"/>
  <c r="D158" i="7"/>
  <c r="D149" i="7"/>
  <c r="D146" i="7"/>
  <c r="D140" i="7"/>
  <c r="D139" i="7"/>
  <c r="D138" i="7"/>
  <c r="D137" i="7"/>
  <c r="D136" i="7"/>
  <c r="D135" i="7"/>
  <c r="D134" i="7"/>
  <c r="D133" i="7"/>
  <c r="D132" i="7"/>
  <c r="D131" i="7"/>
  <c r="D130" i="7"/>
  <c r="D129" i="7"/>
  <c r="D128" i="7"/>
  <c r="D127" i="7"/>
  <c r="D126" i="7"/>
  <c r="D125" i="7"/>
  <c r="D124" i="7"/>
  <c r="D123" i="7"/>
  <c r="D122" i="7"/>
  <c r="D121" i="7"/>
  <c r="D120" i="7"/>
  <c r="D119" i="7"/>
  <c r="D118" i="7"/>
  <c r="D117" i="7"/>
  <c r="D116" i="7"/>
  <c r="D115" i="7"/>
  <c r="D114" i="7"/>
  <c r="D113" i="7"/>
  <c r="D112" i="7"/>
  <c r="D111" i="7"/>
  <c r="D110" i="7"/>
  <c r="D109" i="7"/>
  <c r="D108" i="7"/>
  <c r="D107" i="7"/>
  <c r="D106" i="7"/>
  <c r="D105" i="7"/>
  <c r="D104" i="7"/>
  <c r="D103" i="7"/>
  <c r="D102" i="7"/>
  <c r="D101" i="7"/>
  <c r="D100" i="7"/>
  <c r="D99" i="7"/>
  <c r="D98" i="7"/>
  <c r="D97" i="7"/>
  <c r="D96" i="7"/>
  <c r="D95" i="7"/>
  <c r="D94" i="7"/>
  <c r="D93" i="7"/>
  <c r="D92" i="7"/>
  <c r="D91" i="7"/>
  <c r="D90" i="7"/>
  <c r="D89" i="7"/>
  <c r="D88" i="7"/>
  <c r="D87" i="7"/>
  <c r="D86" i="7"/>
  <c r="D85" i="7"/>
  <c r="D84" i="7"/>
  <c r="D83" i="7"/>
  <c r="D82" i="7"/>
  <c r="D81" i="7"/>
  <c r="D80" i="7"/>
  <c r="D79" i="7"/>
  <c r="D78" i="7"/>
  <c r="D77" i="7"/>
  <c r="D76" i="7"/>
  <c r="D75" i="7"/>
  <c r="D74" i="7"/>
  <c r="D73" i="7"/>
  <c r="D72" i="7"/>
  <c r="D71" i="7"/>
  <c r="D70" i="7"/>
  <c r="D69" i="7"/>
  <c r="D68" i="7"/>
  <c r="D67" i="7"/>
  <c r="D66" i="7"/>
  <c r="D65" i="7"/>
  <c r="D64" i="7"/>
  <c r="D63" i="7"/>
  <c r="D62" i="7"/>
  <c r="D61" i="7"/>
  <c r="D60" i="7"/>
  <c r="D59" i="7"/>
  <c r="D58" i="7"/>
  <c r="D57" i="7"/>
  <c r="D56" i="7"/>
  <c r="D55" i="7"/>
  <c r="D54" i="7"/>
  <c r="D53" i="7"/>
  <c r="D52" i="7"/>
  <c r="D51" i="7"/>
  <c r="D50" i="7"/>
  <c r="D49" i="7"/>
  <c r="D48" i="7"/>
  <c r="D47" i="7"/>
  <c r="D46" i="7"/>
  <c r="D45" i="7"/>
  <c r="D44" i="7"/>
  <c r="D43" i="7"/>
  <c r="D42" i="7"/>
  <c r="D41" i="7"/>
  <c r="D40" i="7"/>
  <c r="D39" i="7"/>
  <c r="D38" i="7"/>
  <c r="D37" i="7"/>
  <c r="D36" i="7"/>
  <c r="D35" i="7"/>
  <c r="D34" i="7"/>
  <c r="D33" i="7"/>
  <c r="D32" i="7"/>
  <c r="D31" i="7"/>
  <c r="D30" i="7"/>
  <c r="D22" i="7"/>
  <c r="D21" i="7"/>
  <c r="D20" i="7"/>
  <c r="D19" i="7"/>
  <c r="D18" i="7"/>
  <c r="D17" i="7"/>
  <c r="D14" i="7"/>
  <c r="D13" i="7"/>
  <c r="D12" i="7"/>
  <c r="D9" i="7"/>
  <c r="D8" i="7"/>
  <c r="D7" i="7"/>
  <c r="D25" i="8"/>
  <c r="D24" i="8"/>
  <c r="D23" i="8"/>
  <c r="D22" i="8"/>
  <c r="D21" i="8"/>
  <c r="D20" i="8"/>
  <c r="D18" i="8"/>
  <c r="D17" i="8"/>
  <c r="C155" i="5"/>
  <c r="C153" i="5"/>
  <c r="C151" i="5"/>
  <c r="C154" i="5"/>
  <c r="C152" i="5"/>
  <c r="C150" i="5"/>
  <c r="C146" i="5"/>
  <c r="C144" i="5"/>
  <c r="C142" i="5"/>
  <c r="C137" i="5"/>
  <c r="C136" i="5"/>
  <c r="C130" i="5"/>
  <c r="C128" i="5"/>
  <c r="C126" i="5"/>
  <c r="C124" i="5"/>
  <c r="C131" i="5"/>
  <c r="C129" i="5"/>
  <c r="C127" i="5"/>
  <c r="C125" i="5"/>
  <c r="C116" i="5"/>
  <c r="C119" i="5"/>
  <c r="C118" i="5"/>
  <c r="C115" i="5"/>
  <c r="C113" i="5"/>
  <c r="C111" i="5"/>
  <c r="C109" i="5"/>
  <c r="C107" i="5"/>
  <c r="C105" i="5"/>
  <c r="C103" i="5"/>
  <c r="C101" i="5"/>
  <c r="C99" i="5"/>
  <c r="C97" i="5"/>
  <c r="C91" i="5"/>
  <c r="C95" i="5"/>
  <c r="C93" i="5"/>
  <c r="C89" i="5"/>
  <c r="C84" i="5"/>
  <c r="C83" i="5"/>
  <c r="C81" i="5"/>
  <c r="C82" i="5"/>
  <c r="C80" i="5"/>
  <c r="C73" i="5"/>
  <c r="C72" i="5"/>
  <c r="C64" i="5"/>
  <c r="C65" i="5"/>
  <c r="C63" i="5"/>
  <c r="C53" i="5"/>
  <c r="C45" i="5"/>
  <c r="C44" i="5"/>
  <c r="C43" i="5"/>
  <c r="C48" i="5"/>
  <c r="C49" i="5"/>
  <c r="C39" i="5"/>
  <c r="C35" i="5"/>
  <c r="C34" i="5"/>
  <c r="C33" i="5"/>
  <c r="C32" i="5"/>
  <c r="C31" i="5"/>
  <c r="C30" i="5"/>
  <c r="C29" i="5"/>
  <c r="C28" i="5"/>
  <c r="C27" i="5"/>
  <c r="C26" i="5"/>
  <c r="C25" i="5"/>
  <c r="C24" i="5"/>
  <c r="C23" i="5"/>
  <c r="C17" i="5"/>
  <c r="C16" i="5"/>
  <c r="C15" i="5"/>
  <c r="C248" i="6"/>
  <c r="C246" i="6"/>
  <c r="C244" i="6"/>
  <c r="C249" i="6"/>
  <c r="C247" i="6"/>
  <c r="C245" i="6"/>
  <c r="C239" i="6"/>
  <c r="C237" i="6"/>
  <c r="C235" i="6"/>
  <c r="C230" i="6"/>
  <c r="C228" i="6"/>
  <c r="C226" i="6"/>
  <c r="C224" i="6"/>
  <c r="C229" i="6"/>
  <c r="C227" i="6"/>
  <c r="C225" i="6"/>
  <c r="C223" i="6"/>
  <c r="C218" i="6"/>
  <c r="C216" i="6"/>
  <c r="C214" i="6"/>
  <c r="C212" i="6"/>
  <c r="C217" i="6"/>
  <c r="C215" i="6"/>
  <c r="C213" i="6"/>
  <c r="C211" i="6"/>
  <c r="C206" i="6"/>
  <c r="C205" i="6"/>
  <c r="C203" i="6"/>
  <c r="C202" i="6"/>
  <c r="C200" i="6"/>
  <c r="C198" i="6"/>
  <c r="C196" i="6"/>
  <c r="C194" i="6"/>
  <c r="C192" i="6"/>
  <c r="C190" i="6"/>
  <c r="C188" i="6"/>
  <c r="C186" i="6"/>
  <c r="C184" i="6"/>
  <c r="C178" i="6"/>
  <c r="C182" i="6"/>
  <c r="C180" i="6"/>
  <c r="C176" i="6"/>
  <c r="C171" i="6"/>
  <c r="C170" i="6"/>
  <c r="C169" i="6"/>
  <c r="C168" i="6"/>
  <c r="C167" i="6"/>
  <c r="C157" i="6"/>
  <c r="C156" i="6"/>
  <c r="C155" i="6"/>
  <c r="C146" i="6"/>
  <c r="C145" i="6"/>
  <c r="C144" i="6"/>
  <c r="C143" i="6"/>
  <c r="C142" i="6"/>
  <c r="C141" i="6"/>
  <c r="C140" i="6"/>
  <c r="C139" i="6"/>
  <c r="C138" i="6"/>
  <c r="C137" i="6"/>
  <c r="C136" i="6"/>
  <c r="C135" i="6"/>
  <c r="C134" i="6"/>
  <c r="C127" i="6"/>
  <c r="C126" i="6"/>
  <c r="C125" i="6"/>
  <c r="C119" i="6"/>
  <c r="C118" i="6"/>
  <c r="C117" i="6"/>
  <c r="C116" i="6"/>
  <c r="I7" i="1"/>
  <c r="C11" i="7" s="1"/>
  <c r="C189" i="5"/>
  <c r="F198" i="5"/>
  <c r="D198" i="5"/>
  <c r="C198" i="5"/>
  <c r="F197" i="5"/>
  <c r="D197" i="5"/>
  <c r="C197" i="5"/>
  <c r="F191" i="5"/>
  <c r="D191" i="5"/>
  <c r="C191" i="5"/>
  <c r="F190" i="5"/>
  <c r="D190" i="5"/>
  <c r="C190" i="5"/>
  <c r="F189" i="5"/>
  <c r="D189" i="5"/>
  <c r="F188" i="5"/>
  <c r="D188" i="5"/>
  <c r="J131" i="5"/>
  <c r="J129" i="5"/>
  <c r="J127" i="5"/>
  <c r="J125" i="5"/>
  <c r="L123" i="5"/>
  <c r="J137" i="5"/>
  <c r="L135" i="5"/>
  <c r="J155" i="5"/>
  <c r="J153" i="5"/>
  <c r="J151" i="5"/>
  <c r="J147" i="5"/>
  <c r="J145" i="5"/>
  <c r="J143" i="5"/>
  <c r="L141" i="5"/>
  <c r="L149" i="5"/>
  <c r="J173" i="5"/>
  <c r="J197" i="5" s="1"/>
  <c r="K173" i="5"/>
  <c r="K197" i="5" s="1"/>
  <c r="J174" i="5"/>
  <c r="K174" i="5"/>
  <c r="J175" i="5"/>
  <c r="K175" i="5"/>
  <c r="J176" i="5"/>
  <c r="K176" i="5"/>
  <c r="J177" i="5"/>
  <c r="K177" i="5"/>
  <c r="J178" i="5"/>
  <c r="K178" i="5"/>
  <c r="J179" i="5"/>
  <c r="K179" i="5"/>
  <c r="J180" i="5"/>
  <c r="K180" i="5"/>
  <c r="J181" i="5"/>
  <c r="K181" i="5"/>
  <c r="J162" i="5"/>
  <c r="J163" i="5"/>
  <c r="J164" i="5"/>
  <c r="J165" i="5"/>
  <c r="J166" i="5"/>
  <c r="J167" i="5"/>
  <c r="J168" i="5"/>
  <c r="J169" i="5"/>
  <c r="J170" i="5"/>
  <c r="J161" i="5"/>
  <c r="L196" i="5"/>
  <c r="L193" i="5"/>
  <c r="L188" i="5"/>
  <c r="L185" i="5"/>
  <c r="D183" i="5"/>
  <c r="K172" i="5"/>
  <c r="J172" i="5"/>
  <c r="L171" i="5"/>
  <c r="L159" i="5"/>
  <c r="D157" i="5"/>
  <c r="D139" i="5"/>
  <c r="D133" i="5"/>
  <c r="J66" i="5"/>
  <c r="J69" i="5"/>
  <c r="L68" i="5"/>
  <c r="J74" i="5"/>
  <c r="J18" i="5"/>
  <c r="J47" i="5"/>
  <c r="J46" i="5"/>
  <c r="J38" i="5"/>
  <c r="J37" i="5"/>
  <c r="L14" i="5"/>
  <c r="L22" i="5"/>
  <c r="L42" i="5"/>
  <c r="J101" i="6"/>
  <c r="J118" i="5"/>
  <c r="J116" i="5"/>
  <c r="L88" i="5"/>
  <c r="D53" i="5"/>
  <c r="D63" i="5"/>
  <c r="D65" i="5"/>
  <c r="D72" i="5"/>
  <c r="D73" i="5"/>
  <c r="D86" i="5"/>
  <c r="D121" i="5"/>
  <c r="J63" i="5"/>
  <c r="L62" i="5"/>
  <c r="J54" i="5"/>
  <c r="J53" i="5"/>
  <c r="L52" i="5"/>
  <c r="L71" i="5"/>
  <c r="L79" i="5"/>
  <c r="L4" i="5"/>
  <c r="K3" i="5"/>
  <c r="J150" i="6"/>
  <c r="D285" i="6"/>
  <c r="F300" i="6"/>
  <c r="D300" i="6"/>
  <c r="C300" i="6"/>
  <c r="F299" i="6"/>
  <c r="D299" i="6"/>
  <c r="C299" i="6"/>
  <c r="F291" i="6"/>
  <c r="D291" i="6"/>
  <c r="C291" i="6"/>
  <c r="F292" i="6"/>
  <c r="D292" i="6"/>
  <c r="C292" i="6"/>
  <c r="F293" i="6"/>
  <c r="D293" i="6"/>
  <c r="C293" i="6"/>
  <c r="F290" i="6"/>
  <c r="D290" i="6"/>
  <c r="C290" i="6"/>
  <c r="D251" i="6"/>
  <c r="D232" i="6"/>
  <c r="D220" i="6"/>
  <c r="D208" i="6"/>
  <c r="D173" i="6"/>
  <c r="D110" i="6"/>
  <c r="D109" i="6"/>
  <c r="D108" i="6"/>
  <c r="D107" i="6"/>
  <c r="D100" i="6"/>
  <c r="D99" i="6"/>
  <c r="D86" i="6"/>
  <c r="D78" i="6"/>
  <c r="D74" i="6"/>
  <c r="D68" i="6"/>
  <c r="D58" i="6"/>
  <c r="D49" i="6"/>
  <c r="D48" i="6"/>
  <c r="D44" i="6"/>
  <c r="D42" i="6"/>
  <c r="D38" i="6"/>
  <c r="D32" i="6"/>
  <c r="D30" i="6"/>
  <c r="D26" i="6"/>
  <c r="D22" i="6"/>
  <c r="D18" i="6"/>
  <c r="J238" i="6"/>
  <c r="J96" i="6"/>
  <c r="J61" i="6"/>
  <c r="J35" i="6"/>
  <c r="J52" i="6"/>
  <c r="J147" i="6"/>
  <c r="J158" i="6"/>
  <c r="J93" i="6"/>
  <c r="J87" i="6"/>
  <c r="J88" i="6"/>
  <c r="J90" i="6"/>
  <c r="J91" i="6"/>
  <c r="J249" i="6"/>
  <c r="J247" i="6"/>
  <c r="J245" i="6"/>
  <c r="L243" i="6"/>
  <c r="J240" i="6"/>
  <c r="J236" i="6"/>
  <c r="L234" i="6"/>
  <c r="L255" i="6"/>
  <c r="J230" i="6"/>
  <c r="J228" i="6"/>
  <c r="J226" i="6"/>
  <c r="J224" i="6"/>
  <c r="L222" i="6"/>
  <c r="J218" i="6"/>
  <c r="J216" i="6"/>
  <c r="J214" i="6"/>
  <c r="J212" i="6"/>
  <c r="L210" i="6"/>
  <c r="K209" i="6"/>
  <c r="K218" i="6" s="1"/>
  <c r="F259" i="6"/>
  <c r="J259" i="6" s="1"/>
  <c r="J42" i="6"/>
  <c r="L41" i="6"/>
  <c r="J205" i="6"/>
  <c r="J203" i="6"/>
  <c r="L175" i="6"/>
  <c r="L166" i="6"/>
  <c r="K174" i="6"/>
  <c r="J159" i="6"/>
  <c r="L154" i="6"/>
  <c r="J149" i="6"/>
  <c r="L132" i="6"/>
  <c r="J128" i="6"/>
  <c r="L124" i="6"/>
  <c r="J119" i="6"/>
  <c r="J115" i="6"/>
  <c r="J118" i="6" s="1"/>
  <c r="L114" i="6"/>
  <c r="J108" i="6"/>
  <c r="J109" i="6"/>
  <c r="J110" i="6"/>
  <c r="J111" i="6"/>
  <c r="J107" i="6"/>
  <c r="L106" i="6"/>
  <c r="J100" i="6"/>
  <c r="J99" i="6"/>
  <c r="L98" i="6"/>
  <c r="J89" i="6"/>
  <c r="J92" i="6"/>
  <c r="J94" i="6"/>
  <c r="J86" i="6"/>
  <c r="L85" i="6"/>
  <c r="J79" i="6"/>
  <c r="J80" i="6"/>
  <c r="J81" i="6"/>
  <c r="J82" i="6"/>
  <c r="J83" i="6"/>
  <c r="J78" i="6"/>
  <c r="L77" i="6"/>
  <c r="J74" i="6"/>
  <c r="J68" i="6"/>
  <c r="L67" i="6"/>
  <c r="J50" i="6"/>
  <c r="J49" i="6"/>
  <c r="J48" i="6"/>
  <c r="L47" i="6"/>
  <c r="L56" i="6"/>
  <c r="J59" i="6"/>
  <c r="J58" i="6"/>
  <c r="J39" i="6"/>
  <c r="J38" i="6"/>
  <c r="L37" i="6"/>
  <c r="J33" i="6"/>
  <c r="J32" i="6"/>
  <c r="J31" i="6"/>
  <c r="J30" i="6"/>
  <c r="L29" i="6"/>
  <c r="J23" i="6"/>
  <c r="J22" i="6"/>
  <c r="L21" i="6"/>
  <c r="J27" i="6"/>
  <c r="J26" i="6"/>
  <c r="L25" i="6"/>
  <c r="L5" i="6"/>
  <c r="J7" i="6"/>
  <c r="J8" i="6"/>
  <c r="J9" i="6"/>
  <c r="J10" i="6"/>
  <c r="J11" i="6"/>
  <c r="J12" i="6"/>
  <c r="J13" i="6"/>
  <c r="J14" i="6"/>
  <c r="J15" i="6"/>
  <c r="J16" i="6"/>
  <c r="J17" i="6"/>
  <c r="J6" i="6"/>
  <c r="K4" i="6"/>
  <c r="K128" i="6" s="1"/>
  <c r="J18" i="6" l="1"/>
  <c r="K60" i="5"/>
  <c r="L60" i="5" s="1"/>
  <c r="K57" i="5"/>
  <c r="K59" i="5"/>
  <c r="L59" i="5" s="1"/>
  <c r="K56" i="5"/>
  <c r="L56" i="5" s="1"/>
  <c r="C65" i="1"/>
  <c r="C60" i="5"/>
  <c r="C57" i="5"/>
  <c r="J19" i="6"/>
  <c r="C94" i="6"/>
  <c r="L57" i="5"/>
  <c r="J81" i="5"/>
  <c r="K108" i="5"/>
  <c r="L108" i="5" s="1"/>
  <c r="K92" i="5"/>
  <c r="L92" i="5" s="1"/>
  <c r="K100" i="5"/>
  <c r="L100" i="5" s="1"/>
  <c r="K96" i="5"/>
  <c r="K106" i="5"/>
  <c r="K94" i="5"/>
  <c r="L94" i="5" s="1"/>
  <c r="K102" i="5"/>
  <c r="L102" i="5" s="1"/>
  <c r="K110" i="5"/>
  <c r="L110" i="5" s="1"/>
  <c r="K104" i="5"/>
  <c r="L104" i="5" s="1"/>
  <c r="K112" i="5"/>
  <c r="L112" i="5" s="1"/>
  <c r="K90" i="5"/>
  <c r="L90" i="5" s="1"/>
  <c r="K98" i="5"/>
  <c r="K114" i="5"/>
  <c r="L96" i="5"/>
  <c r="L106" i="5"/>
  <c r="L114" i="5"/>
  <c r="L98" i="5"/>
  <c r="C91" i="6"/>
  <c r="C83" i="6"/>
  <c r="C93" i="6"/>
  <c r="C96" i="6"/>
  <c r="C101" i="6"/>
  <c r="C82" i="6"/>
  <c r="C92" i="6"/>
  <c r="C111" i="6"/>
  <c r="C75" i="6"/>
  <c r="C59" i="6"/>
  <c r="C69" i="6"/>
  <c r="C35" i="6"/>
  <c r="C61" i="6"/>
  <c r="C23" i="6"/>
  <c r="C7" i="6"/>
  <c r="C17" i="6"/>
  <c r="C19" i="6"/>
  <c r="C31" i="6"/>
  <c r="C39" i="6"/>
  <c r="C27" i="6"/>
  <c r="C9" i="6"/>
  <c r="C11" i="6"/>
  <c r="C33" i="6"/>
  <c r="C50" i="6"/>
  <c r="C52" i="6"/>
  <c r="C13" i="6"/>
  <c r="C15" i="6"/>
  <c r="C258" i="6"/>
  <c r="C6" i="5"/>
  <c r="C37" i="5"/>
  <c r="C69" i="5"/>
  <c r="C145" i="5"/>
  <c r="C5" i="5"/>
  <c r="C147" i="5"/>
  <c r="C54" i="5"/>
  <c r="C74" i="5"/>
  <c r="C8" i="5"/>
  <c r="C236" i="6"/>
  <c r="C47" i="5"/>
  <c r="C143" i="5"/>
  <c r="C238" i="6"/>
  <c r="C18" i="5"/>
  <c r="C46" i="5"/>
  <c r="C240" i="6"/>
  <c r="C19" i="5"/>
  <c r="C38" i="5"/>
  <c r="C66" i="5"/>
  <c r="C129" i="6"/>
  <c r="C149" i="6"/>
  <c r="C150" i="6"/>
  <c r="C158" i="6"/>
  <c r="C159" i="6"/>
  <c r="C128" i="6"/>
  <c r="C147" i="6"/>
  <c r="C50" i="1"/>
  <c r="C56" i="1"/>
  <c r="C43" i="1"/>
  <c r="C45" i="1"/>
  <c r="C57" i="1"/>
  <c r="C58" i="1"/>
  <c r="C59" i="1"/>
  <c r="C51" i="1"/>
  <c r="C63" i="1"/>
  <c r="C52" i="1"/>
  <c r="C64" i="1"/>
  <c r="C53" i="1"/>
  <c r="C6" i="7"/>
  <c r="K153" i="5"/>
  <c r="L153" i="5" s="1"/>
  <c r="K127" i="5"/>
  <c r="L127" i="5" s="1"/>
  <c r="K143" i="5"/>
  <c r="L143" i="5" s="1"/>
  <c r="K145" i="5"/>
  <c r="K155" i="5"/>
  <c r="L155" i="5" s="1"/>
  <c r="K129" i="5"/>
  <c r="K147" i="5"/>
  <c r="L147" i="5" s="1"/>
  <c r="K131" i="5"/>
  <c r="L131" i="5" s="1"/>
  <c r="K137" i="5"/>
  <c r="L137" i="5" s="1"/>
  <c r="K151" i="5"/>
  <c r="L151" i="5" s="1"/>
  <c r="K125" i="5"/>
  <c r="L125" i="5" s="1"/>
  <c r="C199" i="5"/>
  <c r="D199" i="5"/>
  <c r="D200" i="5" s="1"/>
  <c r="F199" i="5"/>
  <c r="F200" i="5" s="1"/>
  <c r="C192" i="5"/>
  <c r="D192" i="5"/>
  <c r="D193" i="5" s="1"/>
  <c r="D194" i="5" s="1"/>
  <c r="F192" i="5"/>
  <c r="F193" i="5" s="1"/>
  <c r="F194" i="5" s="1"/>
  <c r="L179" i="5"/>
  <c r="L129" i="5"/>
  <c r="L145" i="5"/>
  <c r="J189" i="5"/>
  <c r="K169" i="5"/>
  <c r="L169" i="5" s="1"/>
  <c r="K162" i="5"/>
  <c r="L162" i="5" s="1"/>
  <c r="K166" i="5"/>
  <c r="L166" i="5" s="1"/>
  <c r="K165" i="5"/>
  <c r="L165" i="5" s="1"/>
  <c r="L176" i="5"/>
  <c r="L173" i="5"/>
  <c r="K161" i="5"/>
  <c r="L161" i="5" s="1"/>
  <c r="K168" i="5"/>
  <c r="L168" i="5" s="1"/>
  <c r="L172" i="5"/>
  <c r="L175" i="5"/>
  <c r="K164" i="5"/>
  <c r="L164" i="5" s="1"/>
  <c r="K194" i="5"/>
  <c r="K167" i="5"/>
  <c r="L167" i="5" s="1"/>
  <c r="L181" i="5"/>
  <c r="L178" i="5"/>
  <c r="L197" i="5"/>
  <c r="K170" i="5"/>
  <c r="L170" i="5" s="1"/>
  <c r="J186" i="5"/>
  <c r="L180" i="5"/>
  <c r="L174" i="5"/>
  <c r="K163" i="5"/>
  <c r="L163" i="5" s="1"/>
  <c r="L177" i="5"/>
  <c r="J194" i="5"/>
  <c r="L194" i="5" s="1"/>
  <c r="K37" i="5"/>
  <c r="L37" i="5" s="1"/>
  <c r="K69" i="5"/>
  <c r="L69" i="5" s="1"/>
  <c r="K38" i="5"/>
  <c r="L38" i="5" s="1"/>
  <c r="K74" i="5"/>
  <c r="L74" i="5" s="1"/>
  <c r="K47" i="5"/>
  <c r="L47" i="5" s="1"/>
  <c r="K66" i="5"/>
  <c r="L66" i="5" s="1"/>
  <c r="K46" i="5"/>
  <c r="L46" i="5" s="1"/>
  <c r="K18" i="5"/>
  <c r="L18" i="5" s="1"/>
  <c r="K116" i="5"/>
  <c r="L116" i="5" s="1"/>
  <c r="K118" i="5"/>
  <c r="L118" i="5" s="1"/>
  <c r="K73" i="5"/>
  <c r="K101" i="6"/>
  <c r="L101" i="6" s="1"/>
  <c r="K150" i="6"/>
  <c r="L150" i="6" s="1"/>
  <c r="K54" i="5"/>
  <c r="L54" i="5" s="1"/>
  <c r="K81" i="5"/>
  <c r="L81" i="5" s="1"/>
  <c r="K63" i="5"/>
  <c r="L63" i="5" s="1"/>
  <c r="E156" i="7" s="1"/>
  <c r="K5" i="5"/>
  <c r="K6" i="5"/>
  <c r="K53" i="5"/>
  <c r="L53" i="5" s="1"/>
  <c r="K7" i="5"/>
  <c r="K72" i="5"/>
  <c r="K83" i="5"/>
  <c r="J83" i="5"/>
  <c r="J72" i="5"/>
  <c r="J6" i="5"/>
  <c r="J73" i="5"/>
  <c r="J5" i="5"/>
  <c r="J7" i="5"/>
  <c r="L7" i="5" s="1"/>
  <c r="K147" i="6"/>
  <c r="K238" i="6"/>
  <c r="L238" i="6" s="1"/>
  <c r="K88" i="6"/>
  <c r="L88" i="6" s="1"/>
  <c r="K52" i="6"/>
  <c r="L52" i="6" s="1"/>
  <c r="K87" i="6"/>
  <c r="L87" i="6" s="1"/>
  <c r="K61" i="6"/>
  <c r="L61" i="6" s="1"/>
  <c r="K93" i="6"/>
  <c r="L93" i="6" s="1"/>
  <c r="K35" i="6"/>
  <c r="L35" i="6" s="1"/>
  <c r="K96" i="6"/>
  <c r="L96" i="6" s="1"/>
  <c r="K158" i="6"/>
  <c r="L158" i="6" s="1"/>
  <c r="K91" i="6"/>
  <c r="L91" i="6" s="1"/>
  <c r="K90" i="6"/>
  <c r="L90" i="6" s="1"/>
  <c r="K240" i="6"/>
  <c r="L240" i="6" s="1"/>
  <c r="K249" i="6"/>
  <c r="L249" i="6" s="1"/>
  <c r="K245" i="6"/>
  <c r="L245" i="6" s="1"/>
  <c r="K247" i="6"/>
  <c r="L247" i="6" s="1"/>
  <c r="K236" i="6"/>
  <c r="K224" i="6"/>
  <c r="L224" i="6" s="1"/>
  <c r="K228" i="6"/>
  <c r="L228" i="6" s="1"/>
  <c r="K226" i="6"/>
  <c r="L226" i="6" s="1"/>
  <c r="K230" i="6"/>
  <c r="L230" i="6" s="1"/>
  <c r="K214" i="6"/>
  <c r="L214" i="6" s="1"/>
  <c r="K216" i="6"/>
  <c r="L216" i="6" s="1"/>
  <c r="L218" i="6"/>
  <c r="K212" i="6"/>
  <c r="L212" i="6" s="1"/>
  <c r="J116" i="6"/>
  <c r="J117" i="6"/>
  <c r="K58" i="6"/>
  <c r="K8" i="6"/>
  <c r="K16" i="6"/>
  <c r="K32" i="6"/>
  <c r="K49" i="6"/>
  <c r="K12" i="6"/>
  <c r="K23" i="6"/>
  <c r="K78" i="6"/>
  <c r="K100" i="6"/>
  <c r="K83" i="6"/>
  <c r="K79" i="6"/>
  <c r="K59" i="6"/>
  <c r="K109" i="6"/>
  <c r="K159" i="6"/>
  <c r="L159" i="6" s="1"/>
  <c r="K14" i="6"/>
  <c r="K27" i="6"/>
  <c r="K30" i="6"/>
  <c r="K6" i="6"/>
  <c r="K38" i="6"/>
  <c r="K89" i="6"/>
  <c r="K108" i="6"/>
  <c r="K50" i="6"/>
  <c r="K92" i="6"/>
  <c r="K10" i="6"/>
  <c r="K17" i="6"/>
  <c r="K13" i="6"/>
  <c r="K9" i="6"/>
  <c r="K31" i="6"/>
  <c r="K68" i="6"/>
  <c r="K82" i="6"/>
  <c r="K107" i="6"/>
  <c r="K119" i="6"/>
  <c r="K22" i="6"/>
  <c r="K39" i="6"/>
  <c r="K48" i="6"/>
  <c r="K111" i="6"/>
  <c r="K149" i="6"/>
  <c r="K74" i="6"/>
  <c r="K81" i="6"/>
  <c r="K86" i="6"/>
  <c r="K94" i="6"/>
  <c r="K99" i="6"/>
  <c r="K110" i="6"/>
  <c r="K115" i="6"/>
  <c r="K15" i="6"/>
  <c r="K11" i="6"/>
  <c r="K7" i="6"/>
  <c r="K26" i="6"/>
  <c r="K33" i="6"/>
  <c r="K80" i="6"/>
  <c r="L298" i="6"/>
  <c r="L295" i="6"/>
  <c r="L290" i="6"/>
  <c r="L287" i="6"/>
  <c r="L261" i="6"/>
  <c r="L6" i="5" l="1"/>
  <c r="L198" i="5"/>
  <c r="O194" i="5"/>
  <c r="F198" i="7"/>
  <c r="G198" i="7"/>
  <c r="H198" i="7"/>
  <c r="E198" i="7"/>
  <c r="I198" i="7"/>
  <c r="H197" i="7"/>
  <c r="I197" i="7"/>
  <c r="G197" i="7"/>
  <c r="E197" i="7"/>
  <c r="F197" i="7"/>
  <c r="G155" i="7"/>
  <c r="H155" i="7"/>
  <c r="I155" i="7"/>
  <c r="F155" i="7"/>
  <c r="E155" i="7"/>
  <c r="C193" i="5"/>
  <c r="C194" i="5" s="1"/>
  <c r="C200" i="5"/>
  <c r="J19" i="7"/>
  <c r="K189" i="5"/>
  <c r="L189" i="5" s="1"/>
  <c r="I156" i="7"/>
  <c r="H156" i="7"/>
  <c r="I199" i="7"/>
  <c r="H199" i="7"/>
  <c r="H200" i="7"/>
  <c r="I200" i="7"/>
  <c r="G195" i="7"/>
  <c r="G194" i="7" s="1"/>
  <c r="H195" i="7"/>
  <c r="H194" i="7" s="1"/>
  <c r="I195" i="7"/>
  <c r="I194" i="7" s="1"/>
  <c r="H188" i="7"/>
  <c r="H187" i="7" s="1"/>
  <c r="I188" i="7"/>
  <c r="I187" i="7" s="1"/>
  <c r="H102" i="7"/>
  <c r="I102" i="7"/>
  <c r="G188" i="7"/>
  <c r="G187" i="7" s="1"/>
  <c r="E188" i="7"/>
  <c r="F188" i="7"/>
  <c r="F187" i="7" s="1"/>
  <c r="E221" i="7"/>
  <c r="F195" i="7"/>
  <c r="F194" i="7" s="1"/>
  <c r="E195" i="7"/>
  <c r="E194" i="7" s="1"/>
  <c r="G156" i="7"/>
  <c r="K186" i="5"/>
  <c r="L186" i="5" s="1"/>
  <c r="F156" i="7"/>
  <c r="F199" i="7"/>
  <c r="G199" i="7"/>
  <c r="E199" i="7"/>
  <c r="G200" i="7"/>
  <c r="F200" i="7"/>
  <c r="E200" i="7"/>
  <c r="L73" i="5"/>
  <c r="F102" i="7"/>
  <c r="E102" i="7"/>
  <c r="G102" i="7"/>
  <c r="L72" i="5"/>
  <c r="L83" i="5"/>
  <c r="L5" i="5"/>
  <c r="K8" i="5"/>
  <c r="J8" i="5"/>
  <c r="L147" i="6"/>
  <c r="F56" i="7"/>
  <c r="E56" i="7"/>
  <c r="G56" i="7"/>
  <c r="H56" i="7"/>
  <c r="I56" i="7"/>
  <c r="L236" i="6"/>
  <c r="K118" i="6"/>
  <c r="K117" i="6"/>
  <c r="K116" i="6"/>
  <c r="K19" i="6"/>
  <c r="K18" i="6"/>
  <c r="L273" i="6"/>
  <c r="O186" i="5" l="1"/>
  <c r="L8" i="5"/>
  <c r="E218" i="7" s="1"/>
  <c r="I196" i="7"/>
  <c r="I193" i="7" s="1"/>
  <c r="J198" i="7"/>
  <c r="F196" i="7"/>
  <c r="F193" i="7" s="1"/>
  <c r="G196" i="7"/>
  <c r="G193" i="7" s="1"/>
  <c r="H196" i="7"/>
  <c r="H193" i="7" s="1"/>
  <c r="J197" i="7"/>
  <c r="E196" i="7"/>
  <c r="L190" i="5"/>
  <c r="H220" i="7" s="1"/>
  <c r="E220" i="7"/>
  <c r="E219" i="7" s="1"/>
  <c r="E153" i="7"/>
  <c r="E152" i="7" s="1"/>
  <c r="I153" i="7"/>
  <c r="I152" i="7" s="1"/>
  <c r="H153" i="7"/>
  <c r="H152" i="7" s="1"/>
  <c r="E151" i="7"/>
  <c r="E150" i="7" s="1"/>
  <c r="H151" i="7"/>
  <c r="H150" i="7" s="1"/>
  <c r="I151" i="7"/>
  <c r="I150" i="7" s="1"/>
  <c r="H221" i="7"/>
  <c r="I221" i="7"/>
  <c r="E187" i="7"/>
  <c r="J187" i="7" s="1"/>
  <c r="J188" i="7"/>
  <c r="J195" i="7"/>
  <c r="G153" i="7"/>
  <c r="G152" i="7" s="1"/>
  <c r="F153" i="7"/>
  <c r="F152" i="7" s="1"/>
  <c r="G221" i="7"/>
  <c r="F221" i="7"/>
  <c r="F151" i="7"/>
  <c r="F150" i="7" s="1"/>
  <c r="J156" i="7"/>
  <c r="G151" i="7"/>
  <c r="G150" i="7" s="1"/>
  <c r="J199" i="7"/>
  <c r="J200" i="7"/>
  <c r="J102" i="7"/>
  <c r="J155" i="7"/>
  <c r="J56" i="7"/>
  <c r="L92" i="6"/>
  <c r="L79" i="6"/>
  <c r="L38" i="6"/>
  <c r="L83" i="6"/>
  <c r="L8" i="6"/>
  <c r="L16" i="6"/>
  <c r="L119" i="6"/>
  <c r="L89" i="6"/>
  <c r="L13" i="6"/>
  <c r="L30" i="6"/>
  <c r="L12" i="6"/>
  <c r="L99" i="6"/>
  <c r="L116" i="6"/>
  <c r="L86" i="6"/>
  <c r="L50" i="6"/>
  <c r="L15" i="6"/>
  <c r="L48" i="6"/>
  <c r="L117" i="6"/>
  <c r="L17" i="6"/>
  <c r="L9" i="6"/>
  <c r="L59" i="6"/>
  <c r="I100" i="7" s="1"/>
  <c r="L118" i="6"/>
  <c r="L110" i="6"/>
  <c r="L32" i="6"/>
  <c r="L26" i="6"/>
  <c r="L23" i="6"/>
  <c r="L10" i="6"/>
  <c r="L14" i="6"/>
  <c r="L33" i="6"/>
  <c r="L111" i="6"/>
  <c r="L78" i="6"/>
  <c r="L108" i="6"/>
  <c r="L11" i="6"/>
  <c r="L82" i="6"/>
  <c r="L68" i="6"/>
  <c r="L81" i="6"/>
  <c r="L107" i="6"/>
  <c r="I35" i="7" s="1"/>
  <c r="L39" i="6"/>
  <c r="E108" i="7" s="1"/>
  <c r="L100" i="6"/>
  <c r="I44" i="7" s="1"/>
  <c r="L128" i="6"/>
  <c r="L27" i="6"/>
  <c r="L109" i="6"/>
  <c r="L58" i="6"/>
  <c r="L7" i="6"/>
  <c r="L80" i="6"/>
  <c r="L115" i="6"/>
  <c r="L22" i="6"/>
  <c r="L149" i="6"/>
  <c r="L49" i="6"/>
  <c r="L74" i="6"/>
  <c r="L94" i="6"/>
  <c r="L31" i="6"/>
  <c r="L6" i="6"/>
  <c r="F218" i="7" l="1"/>
  <c r="H218" i="7"/>
  <c r="G218" i="7"/>
  <c r="I218" i="7"/>
  <c r="I217" i="7" s="1"/>
  <c r="J196" i="7"/>
  <c r="F220" i="7"/>
  <c r="F219" i="7" s="1"/>
  <c r="H219" i="7"/>
  <c r="I220" i="7"/>
  <c r="I219" i="7" s="1"/>
  <c r="G220" i="7"/>
  <c r="G219" i="7" s="1"/>
  <c r="I101" i="7"/>
  <c r="I99" i="7" s="1"/>
  <c r="H101" i="7"/>
  <c r="H107" i="7"/>
  <c r="I107" i="7"/>
  <c r="E45" i="7"/>
  <c r="G45" i="7"/>
  <c r="I45" i="7"/>
  <c r="H45" i="7"/>
  <c r="F45" i="7"/>
  <c r="H110" i="7"/>
  <c r="I110" i="7"/>
  <c r="J152" i="7"/>
  <c r="J153" i="7"/>
  <c r="J221" i="7"/>
  <c r="J151" i="7"/>
  <c r="J150" i="7"/>
  <c r="E193" i="7"/>
  <c r="E107" i="7"/>
  <c r="F107" i="7"/>
  <c r="G107" i="7"/>
  <c r="E101" i="7"/>
  <c r="G101" i="7"/>
  <c r="F101" i="7"/>
  <c r="F110" i="7"/>
  <c r="G110" i="7"/>
  <c r="E110" i="7"/>
  <c r="H55" i="7"/>
  <c r="H54" i="7" s="1"/>
  <c r="I55" i="7"/>
  <c r="I54" i="7" s="1"/>
  <c r="F55" i="7"/>
  <c r="F54" i="7" s="1"/>
  <c r="G55" i="7"/>
  <c r="G54" i="7" s="1"/>
  <c r="G36" i="7"/>
  <c r="I36" i="7"/>
  <c r="H36" i="7"/>
  <c r="F36" i="7"/>
  <c r="E36" i="7"/>
  <c r="E109" i="7"/>
  <c r="F109" i="7"/>
  <c r="G109" i="7"/>
  <c r="H109" i="7"/>
  <c r="I109" i="7"/>
  <c r="I40" i="7"/>
  <c r="F40" i="7"/>
  <c r="G40" i="7"/>
  <c r="H40" i="7"/>
  <c r="E55" i="7"/>
  <c r="E40" i="7"/>
  <c r="F88" i="7"/>
  <c r="H88" i="7"/>
  <c r="E88" i="7"/>
  <c r="I88" i="7"/>
  <c r="G88" i="7"/>
  <c r="F87" i="7"/>
  <c r="G87" i="7"/>
  <c r="H87" i="7"/>
  <c r="I87" i="7"/>
  <c r="E87" i="7"/>
  <c r="F90" i="7"/>
  <c r="G90" i="7"/>
  <c r="H90" i="7"/>
  <c r="I90" i="7"/>
  <c r="E90" i="7"/>
  <c r="E93" i="7"/>
  <c r="F93" i="7"/>
  <c r="I93" i="7"/>
  <c r="G93" i="7"/>
  <c r="H93" i="7"/>
  <c r="G91" i="7"/>
  <c r="F91" i="7"/>
  <c r="H91" i="7"/>
  <c r="I91" i="7"/>
  <c r="E91" i="7"/>
  <c r="H92" i="7"/>
  <c r="F92" i="7"/>
  <c r="I92" i="7"/>
  <c r="G92" i="7"/>
  <c r="E92" i="7"/>
  <c r="H48" i="7"/>
  <c r="I48" i="7"/>
  <c r="H53" i="7"/>
  <c r="I53" i="7"/>
  <c r="H52" i="7"/>
  <c r="I52" i="7"/>
  <c r="F53" i="7"/>
  <c r="E53" i="7"/>
  <c r="G53" i="7"/>
  <c r="G52" i="7"/>
  <c r="F52" i="7"/>
  <c r="E52" i="7"/>
  <c r="G48" i="7"/>
  <c r="F48" i="7"/>
  <c r="E48" i="7"/>
  <c r="E46" i="7"/>
  <c r="H46" i="7"/>
  <c r="I46" i="7"/>
  <c r="F46" i="7"/>
  <c r="G46" i="7"/>
  <c r="H41" i="7"/>
  <c r="I41" i="7"/>
  <c r="H37" i="7"/>
  <c r="I37" i="7"/>
  <c r="F35" i="7"/>
  <c r="H35" i="7"/>
  <c r="E35" i="7"/>
  <c r="G35" i="7"/>
  <c r="E44" i="7"/>
  <c r="G44" i="7"/>
  <c r="H44" i="7"/>
  <c r="F44" i="7"/>
  <c r="G41" i="7"/>
  <c r="F41" i="7"/>
  <c r="E41" i="7"/>
  <c r="E37" i="7"/>
  <c r="F37" i="7"/>
  <c r="G37" i="7"/>
  <c r="F108" i="7"/>
  <c r="G108" i="7"/>
  <c r="H108" i="7"/>
  <c r="I108" i="7"/>
  <c r="I105" i="7"/>
  <c r="G105" i="7"/>
  <c r="E105" i="7"/>
  <c r="H105" i="7"/>
  <c r="F105" i="7"/>
  <c r="F106" i="7"/>
  <c r="G106" i="7"/>
  <c r="H106" i="7"/>
  <c r="I106" i="7"/>
  <c r="E106" i="7"/>
  <c r="G100" i="7"/>
  <c r="H100" i="7"/>
  <c r="F100" i="7"/>
  <c r="E100" i="7"/>
  <c r="L19" i="6"/>
  <c r="I104" i="7" s="1"/>
  <c r="L18" i="6"/>
  <c r="J267" i="6"/>
  <c r="J270" i="6"/>
  <c r="K165" i="6"/>
  <c r="K260" i="6"/>
  <c r="K259" i="6" s="1"/>
  <c r="L259" i="6" s="1"/>
  <c r="C5" i="7"/>
  <c r="J274" i="6"/>
  <c r="K274" i="6"/>
  <c r="J275" i="6"/>
  <c r="J299" i="6" s="1"/>
  <c r="K275" i="6"/>
  <c r="J276" i="6"/>
  <c r="K276" i="6"/>
  <c r="J277" i="6"/>
  <c r="K277" i="6"/>
  <c r="J278" i="6"/>
  <c r="K278" i="6"/>
  <c r="J279" i="6"/>
  <c r="K279" i="6"/>
  <c r="J280" i="6"/>
  <c r="K280" i="6"/>
  <c r="J281" i="6"/>
  <c r="K281" i="6"/>
  <c r="J282" i="6"/>
  <c r="K282" i="6"/>
  <c r="J283" i="6"/>
  <c r="K283" i="6"/>
  <c r="F227" i="7"/>
  <c r="G227" i="7" s="1"/>
  <c r="H227" i="7" s="1"/>
  <c r="I227" i="7" s="1"/>
  <c r="F69" i="6"/>
  <c r="F217" i="7"/>
  <c r="E228" i="7"/>
  <c r="F228" i="7" s="1"/>
  <c r="G228" i="7" s="1"/>
  <c r="H228" i="7" s="1"/>
  <c r="I228" i="7" s="1"/>
  <c r="I229" i="7" s="1"/>
  <c r="I230" i="7" s="1"/>
  <c r="F57" i="6"/>
  <c r="F75" i="6" s="1"/>
  <c r="E63" i="1"/>
  <c r="E70" i="1" s="1"/>
  <c r="E45" i="1" s="1"/>
  <c r="E36" i="5" s="1"/>
  <c r="F20" i="7"/>
  <c r="J20" i="7" s="1"/>
  <c r="F18" i="7"/>
  <c r="C301" i="6"/>
  <c r="C302" i="6" s="1"/>
  <c r="D301" i="6"/>
  <c r="D302" i="6" s="1"/>
  <c r="E69" i="1"/>
  <c r="E44" i="1" s="1"/>
  <c r="E51" i="1"/>
  <c r="E68" i="1" s="1"/>
  <c r="E43" i="1" s="1"/>
  <c r="E133" i="6" s="1"/>
  <c r="H217" i="7"/>
  <c r="K201" i="6" l="1"/>
  <c r="L201" i="6" s="1"/>
  <c r="K199" i="6"/>
  <c r="L199" i="6" s="1"/>
  <c r="K191" i="6"/>
  <c r="L191" i="6" s="1"/>
  <c r="K197" i="6"/>
  <c r="L197" i="6" s="1"/>
  <c r="K193" i="6"/>
  <c r="L193" i="6" s="1"/>
  <c r="K195" i="6"/>
  <c r="L195" i="6" s="1"/>
  <c r="K36" i="5"/>
  <c r="J36" i="5"/>
  <c r="L36" i="5" s="1"/>
  <c r="E204" i="6"/>
  <c r="E117" i="5"/>
  <c r="E148" i="6"/>
  <c r="K177" i="6"/>
  <c r="L177" i="6" s="1"/>
  <c r="K187" i="6"/>
  <c r="L187" i="6" s="1"/>
  <c r="K179" i="6"/>
  <c r="L179" i="6" s="1"/>
  <c r="K185" i="6"/>
  <c r="L185" i="6" s="1"/>
  <c r="K183" i="6"/>
  <c r="L183" i="6" s="1"/>
  <c r="K189" i="6"/>
  <c r="L189" i="6" s="1"/>
  <c r="K181" i="6"/>
  <c r="L181" i="6" s="1"/>
  <c r="J220" i="7"/>
  <c r="E229" i="7"/>
  <c r="E230" i="7" s="1"/>
  <c r="H99" i="7"/>
  <c r="E43" i="7"/>
  <c r="F43" i="7"/>
  <c r="F42" i="7" s="1"/>
  <c r="H43" i="7"/>
  <c r="H42" i="7" s="1"/>
  <c r="I43" i="7"/>
  <c r="I42" i="7" s="1"/>
  <c r="G43" i="7"/>
  <c r="G42" i="7" s="1"/>
  <c r="H229" i="7"/>
  <c r="H230" i="7" s="1"/>
  <c r="F229" i="7"/>
  <c r="F230" i="7" s="1"/>
  <c r="G229" i="7"/>
  <c r="G230" i="7" s="1"/>
  <c r="E99" i="7"/>
  <c r="E150" i="5"/>
  <c r="E35" i="5"/>
  <c r="E144" i="5"/>
  <c r="E34" i="5"/>
  <c r="E142" i="5"/>
  <c r="E26" i="5"/>
  <c r="E144" i="6"/>
  <c r="E25" i="5"/>
  <c r="E17" i="5"/>
  <c r="E128" i="5"/>
  <c r="E99" i="5"/>
  <c r="E97" i="5"/>
  <c r="E152" i="5"/>
  <c r="E45" i="5"/>
  <c r="E93" i="5"/>
  <c r="E32" i="5"/>
  <c r="E103" i="5"/>
  <c r="E154" i="5"/>
  <c r="E33" i="5"/>
  <c r="E105" i="5"/>
  <c r="E126" i="5"/>
  <c r="E31" i="5"/>
  <c r="E15" i="5"/>
  <c r="E101" i="5"/>
  <c r="E64" i="5"/>
  <c r="F65" i="5" s="1"/>
  <c r="E146" i="5"/>
  <c r="E30" i="5"/>
  <c r="E115" i="5"/>
  <c r="E29" i="5"/>
  <c r="E113" i="5"/>
  <c r="E130" i="5"/>
  <c r="E24" i="5"/>
  <c r="E43" i="5"/>
  <c r="E28" i="5"/>
  <c r="E111" i="5"/>
  <c r="E91" i="5"/>
  <c r="E107" i="5"/>
  <c r="E109" i="5"/>
  <c r="E95" i="5"/>
  <c r="E136" i="5"/>
  <c r="E23" i="5"/>
  <c r="E44" i="5"/>
  <c r="E16" i="5"/>
  <c r="E89" i="5"/>
  <c r="E27" i="5"/>
  <c r="E124" i="5"/>
  <c r="G99" i="7"/>
  <c r="F99" i="7"/>
  <c r="J110" i="7"/>
  <c r="I89" i="7"/>
  <c r="I86" i="7" s="1"/>
  <c r="H89" i="7"/>
  <c r="H86" i="7" s="1"/>
  <c r="G89" i="7"/>
  <c r="G86" i="7" s="1"/>
  <c r="F89" i="7"/>
  <c r="F86" i="7" s="1"/>
  <c r="E89" i="7"/>
  <c r="E86" i="7" s="1"/>
  <c r="G217" i="7"/>
  <c r="E217" i="7"/>
  <c r="J109" i="7"/>
  <c r="H34" i="7"/>
  <c r="F34" i="7"/>
  <c r="I34" i="7"/>
  <c r="E34" i="7"/>
  <c r="E223" i="6"/>
  <c r="E211" i="6"/>
  <c r="I45" i="1"/>
  <c r="E227" i="6"/>
  <c r="E235" i="6"/>
  <c r="E237" i="6"/>
  <c r="E246" i="6"/>
  <c r="E215" i="6"/>
  <c r="E244" i="6"/>
  <c r="J44" i="1"/>
  <c r="E51" i="6"/>
  <c r="E239" i="6"/>
  <c r="E229" i="6"/>
  <c r="E95" i="6"/>
  <c r="E34" i="6"/>
  <c r="E248" i="6"/>
  <c r="E225" i="6"/>
  <c r="E217" i="6"/>
  <c r="E213" i="6"/>
  <c r="E60" i="6"/>
  <c r="G34" i="7"/>
  <c r="E54" i="7"/>
  <c r="J54" i="7" s="1"/>
  <c r="J55" i="7"/>
  <c r="C294" i="6"/>
  <c r="C295" i="6" s="1"/>
  <c r="C296" i="6" s="1"/>
  <c r="F301" i="6"/>
  <c r="F302" i="6" s="1"/>
  <c r="E136" i="7"/>
  <c r="F136" i="7"/>
  <c r="F135" i="7" s="1"/>
  <c r="I136" i="7"/>
  <c r="I135" i="7" s="1"/>
  <c r="H136" i="7"/>
  <c r="H135" i="7" s="1"/>
  <c r="G136" i="7"/>
  <c r="G135" i="7" s="1"/>
  <c r="D294" i="6"/>
  <c r="D295" i="6" s="1"/>
  <c r="D296" i="6" s="1"/>
  <c r="F294" i="6"/>
  <c r="F295" i="6" s="1"/>
  <c r="F296" i="6" s="1"/>
  <c r="J90" i="7"/>
  <c r="L283" i="6"/>
  <c r="L279" i="6"/>
  <c r="L281" i="6"/>
  <c r="L277" i="6"/>
  <c r="J44" i="7"/>
  <c r="J45" i="7"/>
  <c r="L282" i="6"/>
  <c r="L278" i="6"/>
  <c r="L274" i="6"/>
  <c r="J264" i="6"/>
  <c r="K42" i="6"/>
  <c r="L42" i="6" s="1"/>
  <c r="L280" i="6"/>
  <c r="L276" i="6"/>
  <c r="I103" i="7"/>
  <c r="F104" i="7"/>
  <c r="F103" i="7" s="1"/>
  <c r="G104" i="7"/>
  <c r="G103" i="7" s="1"/>
  <c r="H104" i="7"/>
  <c r="H103" i="7" s="1"/>
  <c r="E104" i="7"/>
  <c r="E103" i="7" s="1"/>
  <c r="J101" i="7"/>
  <c r="J168" i="6"/>
  <c r="K205" i="6"/>
  <c r="L205" i="6" s="1"/>
  <c r="K203" i="6"/>
  <c r="L203" i="6" s="1"/>
  <c r="K75" i="6"/>
  <c r="J75" i="6"/>
  <c r="K69" i="6"/>
  <c r="J69" i="6"/>
  <c r="K299" i="6"/>
  <c r="L299" i="6" s="1"/>
  <c r="L275" i="6"/>
  <c r="K170" i="6"/>
  <c r="K168" i="6"/>
  <c r="K268" i="6"/>
  <c r="K269" i="6"/>
  <c r="K267" i="6"/>
  <c r="L267" i="6" s="1"/>
  <c r="K263" i="6"/>
  <c r="K272" i="6"/>
  <c r="K266" i="6"/>
  <c r="K271" i="6"/>
  <c r="K265" i="6"/>
  <c r="K270" i="6"/>
  <c r="L270" i="6" s="1"/>
  <c r="K264" i="6"/>
  <c r="J271" i="6"/>
  <c r="J266" i="6"/>
  <c r="J170" i="6"/>
  <c r="J263" i="6"/>
  <c r="J269" i="6"/>
  <c r="J265" i="6"/>
  <c r="J291" i="6" s="1"/>
  <c r="J272" i="6"/>
  <c r="J268" i="6"/>
  <c r="E141" i="6"/>
  <c r="E167" i="6"/>
  <c r="E188" i="6"/>
  <c r="E43" i="6"/>
  <c r="J43" i="1"/>
  <c r="E156" i="6"/>
  <c r="E126" i="6"/>
  <c r="E137" i="6"/>
  <c r="E169" i="6"/>
  <c r="E176" i="6"/>
  <c r="E135" i="6"/>
  <c r="E143" i="6"/>
  <c r="E192" i="6"/>
  <c r="E136" i="6"/>
  <c r="E145" i="6"/>
  <c r="E180" i="6"/>
  <c r="E194" i="6"/>
  <c r="E134" i="6"/>
  <c r="E142" i="6"/>
  <c r="E190" i="6"/>
  <c r="E146" i="6"/>
  <c r="E182" i="6"/>
  <c r="E196" i="6"/>
  <c r="K296" i="6"/>
  <c r="E125" i="6"/>
  <c r="E138" i="6"/>
  <c r="E155" i="6"/>
  <c r="E178" i="6"/>
  <c r="E198" i="6"/>
  <c r="J296" i="6"/>
  <c r="E139" i="6"/>
  <c r="E184" i="6"/>
  <c r="E200" i="6"/>
  <c r="E127" i="6"/>
  <c r="E140" i="6"/>
  <c r="E157" i="6"/>
  <c r="E186" i="6"/>
  <c r="E202" i="6"/>
  <c r="I43" i="1"/>
  <c r="J45" i="1"/>
  <c r="I44" i="1"/>
  <c r="I51" i="7"/>
  <c r="E51" i="7"/>
  <c r="G51" i="7"/>
  <c r="J53" i="7"/>
  <c r="J36" i="7"/>
  <c r="J100" i="7"/>
  <c r="J106" i="7"/>
  <c r="J46" i="7"/>
  <c r="J107" i="7"/>
  <c r="J37" i="7"/>
  <c r="J87" i="7"/>
  <c r="J41" i="7"/>
  <c r="J108" i="7"/>
  <c r="J52" i="7"/>
  <c r="J93" i="7"/>
  <c r="J194" i="7"/>
  <c r="J105" i="7"/>
  <c r="H51" i="7"/>
  <c r="J91" i="7"/>
  <c r="J40" i="7"/>
  <c r="J193" i="7"/>
  <c r="C12" i="9" s="1"/>
  <c r="J92" i="7"/>
  <c r="E80" i="5"/>
  <c r="E82" i="5"/>
  <c r="F51" i="7"/>
  <c r="J35" i="7"/>
  <c r="J48" i="7"/>
  <c r="J88" i="7"/>
  <c r="G191" i="7" l="1"/>
  <c r="H191" i="7"/>
  <c r="E191" i="7"/>
  <c r="I191" i="7"/>
  <c r="F191" i="7"/>
  <c r="J148" i="6"/>
  <c r="K148" i="6"/>
  <c r="L148" i="6" s="1"/>
  <c r="K117" i="5"/>
  <c r="J117" i="5"/>
  <c r="J204" i="6"/>
  <c r="K204" i="6"/>
  <c r="K144" i="6"/>
  <c r="L144" i="6" s="1"/>
  <c r="J144" i="6"/>
  <c r="J45" i="5"/>
  <c r="K45" i="5"/>
  <c r="K26" i="5"/>
  <c r="J26" i="5"/>
  <c r="J93" i="5"/>
  <c r="K93" i="5"/>
  <c r="K152" i="5"/>
  <c r="J152" i="5"/>
  <c r="K142" i="5"/>
  <c r="J142" i="5"/>
  <c r="K97" i="5"/>
  <c r="J97" i="5"/>
  <c r="J34" i="5"/>
  <c r="K34" i="5"/>
  <c r="J25" i="5"/>
  <c r="K25" i="5"/>
  <c r="J99" i="5"/>
  <c r="K99" i="5"/>
  <c r="K144" i="5"/>
  <c r="J144" i="5"/>
  <c r="J128" i="5"/>
  <c r="K128" i="5"/>
  <c r="J35" i="5"/>
  <c r="K35" i="5"/>
  <c r="K17" i="5"/>
  <c r="J17" i="5"/>
  <c r="K150" i="5"/>
  <c r="J150" i="5"/>
  <c r="K109" i="5"/>
  <c r="J109" i="5"/>
  <c r="K113" i="5"/>
  <c r="J113" i="5"/>
  <c r="K31" i="5"/>
  <c r="J31" i="5"/>
  <c r="L31" i="5" s="1"/>
  <c r="J107" i="5"/>
  <c r="K107" i="5"/>
  <c r="J29" i="5"/>
  <c r="K29" i="5"/>
  <c r="K126" i="5"/>
  <c r="J126" i="5"/>
  <c r="K95" i="5"/>
  <c r="J95" i="5"/>
  <c r="L95" i="5" s="1"/>
  <c r="K130" i="5"/>
  <c r="J130" i="5"/>
  <c r="J91" i="5"/>
  <c r="K91" i="5"/>
  <c r="J115" i="5"/>
  <c r="K115" i="5"/>
  <c r="J105" i="5"/>
  <c r="K105" i="5"/>
  <c r="K15" i="5"/>
  <c r="J15" i="5"/>
  <c r="J111" i="5"/>
  <c r="K111" i="5"/>
  <c r="J30" i="5"/>
  <c r="K30" i="5"/>
  <c r="J33" i="5"/>
  <c r="K33" i="5"/>
  <c r="K154" i="5"/>
  <c r="J154" i="5"/>
  <c r="K28" i="5"/>
  <c r="J28" i="5"/>
  <c r="K146" i="5"/>
  <c r="J146" i="5"/>
  <c r="K43" i="5"/>
  <c r="J43" i="5"/>
  <c r="J65" i="5"/>
  <c r="K65" i="5"/>
  <c r="J103" i="5"/>
  <c r="K103" i="5"/>
  <c r="K24" i="5"/>
  <c r="J24" i="5"/>
  <c r="K101" i="5"/>
  <c r="J101" i="5"/>
  <c r="L101" i="5" s="1"/>
  <c r="K32" i="5"/>
  <c r="J32" i="5"/>
  <c r="J89" i="5"/>
  <c r="K89" i="5"/>
  <c r="K16" i="5"/>
  <c r="J16" i="5"/>
  <c r="J44" i="5"/>
  <c r="F48" i="5"/>
  <c r="K44" i="5"/>
  <c r="J23" i="5"/>
  <c r="K23" i="5"/>
  <c r="K124" i="5"/>
  <c r="J124" i="5"/>
  <c r="K136" i="5"/>
  <c r="J136" i="5"/>
  <c r="J27" i="5"/>
  <c r="K27" i="5"/>
  <c r="J99" i="7"/>
  <c r="K80" i="5"/>
  <c r="J80" i="5"/>
  <c r="J82" i="5"/>
  <c r="K82" i="5"/>
  <c r="J217" i="7"/>
  <c r="C17" i="9" s="1"/>
  <c r="J218" i="7"/>
  <c r="J89" i="7"/>
  <c r="J43" i="7"/>
  <c r="J42" i="7" s="1"/>
  <c r="J34" i="7"/>
  <c r="E42" i="7"/>
  <c r="K213" i="6"/>
  <c r="J213" i="6"/>
  <c r="J51" i="6"/>
  <c r="K51" i="6"/>
  <c r="K217" i="6"/>
  <c r="J217" i="6"/>
  <c r="K225" i="6"/>
  <c r="J225" i="6"/>
  <c r="K244" i="6"/>
  <c r="J244" i="6"/>
  <c r="K248" i="6"/>
  <c r="J248" i="6"/>
  <c r="K215" i="6"/>
  <c r="J215" i="6"/>
  <c r="J34" i="6"/>
  <c r="K34" i="6"/>
  <c r="J246" i="6"/>
  <c r="K246" i="6"/>
  <c r="K211" i="6"/>
  <c r="J211" i="6"/>
  <c r="K95" i="6"/>
  <c r="J95" i="6"/>
  <c r="J237" i="6"/>
  <c r="K237" i="6"/>
  <c r="K229" i="6"/>
  <c r="J229" i="6"/>
  <c r="K235" i="6"/>
  <c r="J235" i="6"/>
  <c r="K223" i="6"/>
  <c r="J223" i="6"/>
  <c r="J60" i="6"/>
  <c r="K60" i="6"/>
  <c r="J239" i="6"/>
  <c r="K239" i="6"/>
  <c r="J227" i="6"/>
  <c r="K227" i="6"/>
  <c r="E135" i="7"/>
  <c r="J135" i="7" s="1"/>
  <c r="B17" i="9" s="1"/>
  <c r="J136" i="7"/>
  <c r="L264" i="6"/>
  <c r="I49" i="7"/>
  <c r="H49" i="7"/>
  <c r="F49" i="7"/>
  <c r="E49" i="7"/>
  <c r="G49" i="7"/>
  <c r="L269" i="6"/>
  <c r="L263" i="6"/>
  <c r="L168" i="6"/>
  <c r="F44" i="6"/>
  <c r="K44" i="6"/>
  <c r="J44" i="6"/>
  <c r="L170" i="6"/>
  <c r="J146" i="6"/>
  <c r="K146" i="6"/>
  <c r="L146" i="6" s="1"/>
  <c r="K196" i="6"/>
  <c r="J196" i="6"/>
  <c r="J182" i="6"/>
  <c r="K182" i="6"/>
  <c r="J198" i="6"/>
  <c r="K198" i="6"/>
  <c r="J126" i="6"/>
  <c r="K126" i="6"/>
  <c r="J192" i="6"/>
  <c r="K192" i="6"/>
  <c r="L69" i="6"/>
  <c r="K140" i="6"/>
  <c r="L140" i="6" s="1"/>
  <c r="J140" i="6"/>
  <c r="J178" i="6"/>
  <c r="K178" i="6"/>
  <c r="K190" i="6"/>
  <c r="J190" i="6"/>
  <c r="J143" i="6"/>
  <c r="K143" i="6"/>
  <c r="L143" i="6" s="1"/>
  <c r="J127" i="6"/>
  <c r="K127" i="6"/>
  <c r="J142" i="6"/>
  <c r="K142" i="6"/>
  <c r="L142" i="6" s="1"/>
  <c r="L265" i="6"/>
  <c r="L75" i="6"/>
  <c r="J138" i="6"/>
  <c r="K138" i="6"/>
  <c r="L138" i="6" s="1"/>
  <c r="K134" i="6"/>
  <c r="L134" i="6" s="1"/>
  <c r="J134" i="6"/>
  <c r="K176" i="6"/>
  <c r="J176" i="6"/>
  <c r="J188" i="6"/>
  <c r="K188" i="6"/>
  <c r="J200" i="6"/>
  <c r="K200" i="6"/>
  <c r="J125" i="6"/>
  <c r="K125" i="6"/>
  <c r="J194" i="6"/>
  <c r="K194" i="6"/>
  <c r="K133" i="6"/>
  <c r="J133" i="6"/>
  <c r="K202" i="6"/>
  <c r="J202" i="6"/>
  <c r="J139" i="6"/>
  <c r="K139" i="6"/>
  <c r="L139" i="6" s="1"/>
  <c r="J145" i="6"/>
  <c r="K145" i="6"/>
  <c r="L145" i="6" s="1"/>
  <c r="K137" i="6"/>
  <c r="L137" i="6" s="1"/>
  <c r="J137" i="6"/>
  <c r="J186" i="6"/>
  <c r="K186" i="6"/>
  <c r="J136" i="6"/>
  <c r="K136" i="6"/>
  <c r="L136" i="6" s="1"/>
  <c r="J157" i="6"/>
  <c r="K157" i="6"/>
  <c r="L157" i="6" s="1"/>
  <c r="K156" i="6"/>
  <c r="L156" i="6" s="1"/>
  <c r="J156" i="6"/>
  <c r="K155" i="6"/>
  <c r="J155" i="6"/>
  <c r="J135" i="6"/>
  <c r="K135" i="6"/>
  <c r="L135" i="6" s="1"/>
  <c r="J184" i="6"/>
  <c r="K184" i="6"/>
  <c r="L296" i="6"/>
  <c r="K180" i="6"/>
  <c r="J180" i="6"/>
  <c r="J141" i="6"/>
  <c r="K141" i="6"/>
  <c r="L141" i="6" s="1"/>
  <c r="L268" i="6"/>
  <c r="L271" i="6"/>
  <c r="L266" i="6"/>
  <c r="L272" i="6"/>
  <c r="K291" i="6"/>
  <c r="L291" i="6" s="1"/>
  <c r="O288" i="6" s="1"/>
  <c r="K288" i="6"/>
  <c r="J169" i="6"/>
  <c r="K169" i="6"/>
  <c r="K167" i="6"/>
  <c r="J167" i="6"/>
  <c r="J288" i="6"/>
  <c r="J104" i="7"/>
  <c r="J103" i="7" s="1"/>
  <c r="J18" i="7"/>
  <c r="J22" i="7" s="1"/>
  <c r="J17" i="7"/>
  <c r="J21" i="7" s="1"/>
  <c r="J86" i="7"/>
  <c r="J51" i="7"/>
  <c r="F160" i="6"/>
  <c r="J219" i="7"/>
  <c r="C18" i="9" s="1"/>
  <c r="L17" i="5" l="1"/>
  <c r="L204" i="6"/>
  <c r="E70" i="7" s="1"/>
  <c r="L24" i="5"/>
  <c r="I174" i="7" s="1"/>
  <c r="L146" i="5"/>
  <c r="L126" i="5"/>
  <c r="L113" i="5"/>
  <c r="E169" i="7" s="1"/>
  <c r="L152" i="5"/>
  <c r="G215" i="7" s="1"/>
  <c r="L142" i="5"/>
  <c r="F210" i="7" s="1"/>
  <c r="L136" i="5"/>
  <c r="L124" i="5"/>
  <c r="L28" i="5"/>
  <c r="I176" i="7" s="1"/>
  <c r="L109" i="5"/>
  <c r="F167" i="7" s="1"/>
  <c r="L32" i="5"/>
  <c r="L154" i="5"/>
  <c r="G216" i="7" s="1"/>
  <c r="L15" i="5"/>
  <c r="L130" i="5"/>
  <c r="G205" i="7" s="1"/>
  <c r="L150" i="5"/>
  <c r="L144" i="5"/>
  <c r="F211" i="7" s="1"/>
  <c r="L97" i="5"/>
  <c r="L26" i="5"/>
  <c r="L117" i="5"/>
  <c r="G171" i="7" s="1"/>
  <c r="O296" i="6"/>
  <c r="L301" i="6"/>
  <c r="G139" i="7" s="1"/>
  <c r="I70" i="7"/>
  <c r="J191" i="7"/>
  <c r="I171" i="7"/>
  <c r="E96" i="7"/>
  <c r="F96" i="7"/>
  <c r="G96" i="7"/>
  <c r="H96" i="7"/>
  <c r="I96" i="7"/>
  <c r="J161" i="6"/>
  <c r="K161" i="6"/>
  <c r="L43" i="5"/>
  <c r="E167" i="7"/>
  <c r="I163" i="7"/>
  <c r="E163" i="7"/>
  <c r="G163" i="7"/>
  <c r="F163" i="7"/>
  <c r="H163" i="7"/>
  <c r="L27" i="5"/>
  <c r="G183" i="7" s="1"/>
  <c r="L107" i="5"/>
  <c r="L202" i="6"/>
  <c r="G69" i="7" s="1"/>
  <c r="L229" i="6"/>
  <c r="L237" i="6"/>
  <c r="H129" i="7" s="1"/>
  <c r="L128" i="5"/>
  <c r="G204" i="7" s="1"/>
  <c r="L213" i="6"/>
  <c r="G118" i="7" s="1"/>
  <c r="L45" i="5"/>
  <c r="L30" i="5"/>
  <c r="I177" i="7" s="1"/>
  <c r="L35" i="5"/>
  <c r="I192" i="7" s="1"/>
  <c r="I190" i="7" s="1"/>
  <c r="L25" i="5"/>
  <c r="G182" i="7" s="1"/>
  <c r="L33" i="5"/>
  <c r="E179" i="7" s="1"/>
  <c r="L105" i="5"/>
  <c r="L99" i="5"/>
  <c r="I216" i="7"/>
  <c r="G214" i="7"/>
  <c r="H176" i="7"/>
  <c r="G207" i="7"/>
  <c r="G206" i="7" s="1"/>
  <c r="I185" i="7"/>
  <c r="H185" i="7"/>
  <c r="G202" i="7"/>
  <c r="H174" i="7"/>
  <c r="H212" i="7"/>
  <c r="I212" i="7"/>
  <c r="G203" i="7"/>
  <c r="I85" i="7"/>
  <c r="H85" i="7"/>
  <c r="L115" i="5"/>
  <c r="E170" i="7" s="1"/>
  <c r="L65" i="5"/>
  <c r="L34" i="5"/>
  <c r="L93" i="5"/>
  <c r="G85" i="7"/>
  <c r="E85" i="7"/>
  <c r="F85" i="7"/>
  <c r="L103" i="5"/>
  <c r="L111" i="5"/>
  <c r="L91" i="5"/>
  <c r="L29" i="5"/>
  <c r="F175" i="7"/>
  <c r="E175" i="7"/>
  <c r="E185" i="7"/>
  <c r="G185" i="7"/>
  <c r="F185" i="7"/>
  <c r="F174" i="7"/>
  <c r="G174" i="7"/>
  <c r="E174" i="7"/>
  <c r="G212" i="7"/>
  <c r="F212" i="7"/>
  <c r="E212" i="7"/>
  <c r="K19" i="5"/>
  <c r="F176" i="7"/>
  <c r="G176" i="7"/>
  <c r="J119" i="5"/>
  <c r="J49" i="5"/>
  <c r="J48" i="5"/>
  <c r="K219" i="6"/>
  <c r="L16" i="5"/>
  <c r="J19" i="5"/>
  <c r="L44" i="5"/>
  <c r="K49" i="5"/>
  <c r="K48" i="5"/>
  <c r="K39" i="5"/>
  <c r="L89" i="5"/>
  <c r="K119" i="5"/>
  <c r="L23" i="5"/>
  <c r="J39" i="5"/>
  <c r="L82" i="5"/>
  <c r="J151" i="6"/>
  <c r="K151" i="6"/>
  <c r="L80" i="5"/>
  <c r="J84" i="5"/>
  <c r="F84" i="5" s="1"/>
  <c r="K84" i="5"/>
  <c r="L34" i="6"/>
  <c r="F112" i="7" s="1"/>
  <c r="L215" i="6"/>
  <c r="L217" i="6"/>
  <c r="L60" i="6"/>
  <c r="E111" i="7" s="1"/>
  <c r="L51" i="6"/>
  <c r="F114" i="7" s="1"/>
  <c r="L246" i="6"/>
  <c r="L178" i="6"/>
  <c r="L248" i="6"/>
  <c r="L44" i="6"/>
  <c r="E50" i="7" s="1"/>
  <c r="L227" i="6"/>
  <c r="L95" i="6"/>
  <c r="F115" i="7" s="1"/>
  <c r="L180" i="6"/>
  <c r="L239" i="6"/>
  <c r="H130" i="7" s="1"/>
  <c r="L225" i="6"/>
  <c r="G125" i="7"/>
  <c r="K231" i="6"/>
  <c r="L235" i="6"/>
  <c r="J241" i="6"/>
  <c r="J242" i="6" s="1"/>
  <c r="G78" i="7"/>
  <c r="H78" i="7"/>
  <c r="I78" i="7"/>
  <c r="E78" i="7"/>
  <c r="F78" i="7"/>
  <c r="K241" i="6"/>
  <c r="K242" i="6" s="1"/>
  <c r="L211" i="6"/>
  <c r="J219" i="6"/>
  <c r="G113" i="7"/>
  <c r="F113" i="7"/>
  <c r="H113" i="7"/>
  <c r="I113" i="7"/>
  <c r="E113" i="7"/>
  <c r="I97" i="7"/>
  <c r="E97" i="7"/>
  <c r="F97" i="7"/>
  <c r="G97" i="7"/>
  <c r="H97" i="7"/>
  <c r="J250" i="6"/>
  <c r="L244" i="6"/>
  <c r="L223" i="6"/>
  <c r="J231" i="6"/>
  <c r="K250" i="6"/>
  <c r="F84" i="7"/>
  <c r="G84" i="7"/>
  <c r="H84" i="7"/>
  <c r="I84" i="7"/>
  <c r="E84" i="7"/>
  <c r="E73" i="7"/>
  <c r="F73" i="7"/>
  <c r="H73" i="7"/>
  <c r="I73" i="7"/>
  <c r="G73" i="7"/>
  <c r="F76" i="7"/>
  <c r="G76" i="7"/>
  <c r="H76" i="7"/>
  <c r="I76" i="7"/>
  <c r="E76" i="7"/>
  <c r="E74" i="7"/>
  <c r="G74" i="7"/>
  <c r="I74" i="7"/>
  <c r="F74" i="7"/>
  <c r="H74" i="7"/>
  <c r="H75" i="7"/>
  <c r="F75" i="7"/>
  <c r="I75" i="7"/>
  <c r="E75" i="7"/>
  <c r="G75" i="7"/>
  <c r="G81" i="7"/>
  <c r="H81" i="7"/>
  <c r="I81" i="7"/>
  <c r="E81" i="7"/>
  <c r="F81" i="7"/>
  <c r="I83" i="7"/>
  <c r="E83" i="7"/>
  <c r="H83" i="7"/>
  <c r="G83" i="7"/>
  <c r="F83" i="7"/>
  <c r="F82" i="7"/>
  <c r="E82" i="7"/>
  <c r="G82" i="7"/>
  <c r="H82" i="7"/>
  <c r="I82" i="7"/>
  <c r="J49" i="7"/>
  <c r="H39" i="7"/>
  <c r="H38" i="7" s="1"/>
  <c r="I39" i="7"/>
  <c r="I38" i="7" s="1"/>
  <c r="F39" i="7"/>
  <c r="F38" i="7" s="1"/>
  <c r="G39" i="7"/>
  <c r="G38" i="7" s="1"/>
  <c r="E39" i="7"/>
  <c r="E38" i="7" s="1"/>
  <c r="L196" i="6"/>
  <c r="L200" i="6"/>
  <c r="L190" i="6"/>
  <c r="L126" i="6"/>
  <c r="L198" i="6"/>
  <c r="L186" i="6"/>
  <c r="L127" i="6"/>
  <c r="L182" i="6"/>
  <c r="L192" i="6"/>
  <c r="L184" i="6"/>
  <c r="L188" i="6"/>
  <c r="L194" i="6"/>
  <c r="L288" i="6"/>
  <c r="L167" i="6"/>
  <c r="I31" i="7" s="1"/>
  <c r="K206" i="6"/>
  <c r="J160" i="6"/>
  <c r="K129" i="6"/>
  <c r="E139" i="7"/>
  <c r="J171" i="6"/>
  <c r="L133" i="6"/>
  <c r="L151" i="6" s="1"/>
  <c r="J129" i="6"/>
  <c r="L125" i="6"/>
  <c r="K160" i="6"/>
  <c r="L155" i="6"/>
  <c r="L161" i="6" s="1"/>
  <c r="L169" i="6"/>
  <c r="J206" i="6"/>
  <c r="L176" i="6"/>
  <c r="K171" i="6"/>
  <c r="I215" i="7" l="1"/>
  <c r="I169" i="7"/>
  <c r="I205" i="7"/>
  <c r="G169" i="7"/>
  <c r="F169" i="7"/>
  <c r="H169" i="7"/>
  <c r="G167" i="7"/>
  <c r="G119" i="7"/>
  <c r="F119" i="7"/>
  <c r="H119" i="7"/>
  <c r="E119" i="7"/>
  <c r="G122" i="7"/>
  <c r="E122" i="7"/>
  <c r="H122" i="7"/>
  <c r="F122" i="7"/>
  <c r="G134" i="7"/>
  <c r="G131" i="7" s="1"/>
  <c r="F134" i="7"/>
  <c r="H134" i="7"/>
  <c r="E134" i="7"/>
  <c r="F215" i="7"/>
  <c r="E215" i="7"/>
  <c r="H215" i="7"/>
  <c r="G117" i="7"/>
  <c r="E117" i="7"/>
  <c r="F117" i="7"/>
  <c r="H117" i="7"/>
  <c r="E205" i="7"/>
  <c r="F205" i="7"/>
  <c r="H205" i="7"/>
  <c r="G132" i="7"/>
  <c r="F132" i="7"/>
  <c r="E132" i="7"/>
  <c r="H132" i="7"/>
  <c r="G210" i="7"/>
  <c r="I210" i="7"/>
  <c r="E216" i="7"/>
  <c r="H216" i="7"/>
  <c r="F216" i="7"/>
  <c r="G123" i="7"/>
  <c r="F123" i="7"/>
  <c r="H123" i="7"/>
  <c r="E123" i="7"/>
  <c r="G133" i="7"/>
  <c r="H133" i="7"/>
  <c r="E133" i="7"/>
  <c r="F133" i="7"/>
  <c r="E210" i="7"/>
  <c r="I118" i="7"/>
  <c r="F118" i="7"/>
  <c r="H118" i="7"/>
  <c r="E118" i="7"/>
  <c r="I203" i="7"/>
  <c r="H203" i="7"/>
  <c r="F203" i="7"/>
  <c r="E203" i="7"/>
  <c r="I204" i="7"/>
  <c r="I201" i="7" s="1"/>
  <c r="F204" i="7"/>
  <c r="H204" i="7"/>
  <c r="E204" i="7"/>
  <c r="G124" i="7"/>
  <c r="F124" i="7"/>
  <c r="E124" i="7"/>
  <c r="H124" i="7"/>
  <c r="I125" i="7"/>
  <c r="J125" i="7" s="1"/>
  <c r="H125" i="7"/>
  <c r="E125" i="7"/>
  <c r="F125" i="7"/>
  <c r="I202" i="7"/>
  <c r="H202" i="7"/>
  <c r="F202" i="7"/>
  <c r="F201" i="7" s="1"/>
  <c r="E202" i="7"/>
  <c r="E201" i="7" s="1"/>
  <c r="I214" i="7"/>
  <c r="I213" i="7" s="1"/>
  <c r="H214" i="7"/>
  <c r="F214" i="7"/>
  <c r="E214" i="7"/>
  <c r="I207" i="7"/>
  <c r="I206" i="7" s="1"/>
  <c r="E207" i="7"/>
  <c r="E206" i="7" s="1"/>
  <c r="F207" i="7"/>
  <c r="F206" i="7" s="1"/>
  <c r="H207" i="7"/>
  <c r="H206" i="7" s="1"/>
  <c r="G120" i="7"/>
  <c r="G116" i="7" s="1"/>
  <c r="E120" i="7"/>
  <c r="F120" i="7"/>
  <c r="F116" i="7" s="1"/>
  <c r="H120" i="7"/>
  <c r="F119" i="5"/>
  <c r="F151" i="6"/>
  <c r="F129" i="6"/>
  <c r="F171" i="6"/>
  <c r="F206" i="6"/>
  <c r="I139" i="7"/>
  <c r="H139" i="7"/>
  <c r="E176" i="7"/>
  <c r="H210" i="7"/>
  <c r="H162" i="7"/>
  <c r="H175" i="7"/>
  <c r="F70" i="7"/>
  <c r="G211" i="7"/>
  <c r="I167" i="7"/>
  <c r="H167" i="7"/>
  <c r="I175" i="7"/>
  <c r="E171" i="7"/>
  <c r="G175" i="7"/>
  <c r="H171" i="7"/>
  <c r="F171" i="7"/>
  <c r="H70" i="7"/>
  <c r="G70" i="7"/>
  <c r="I211" i="7"/>
  <c r="H211" i="7"/>
  <c r="E211" i="7"/>
  <c r="H178" i="7"/>
  <c r="F139" i="7"/>
  <c r="I95" i="7"/>
  <c r="H95" i="7"/>
  <c r="G95" i="7"/>
  <c r="F161" i="6"/>
  <c r="J96" i="7"/>
  <c r="F95" i="7"/>
  <c r="F69" i="7"/>
  <c r="F49" i="5"/>
  <c r="E183" i="7"/>
  <c r="F162" i="7"/>
  <c r="G162" i="7"/>
  <c r="F39" i="5"/>
  <c r="F19" i="5"/>
  <c r="E160" i="7"/>
  <c r="G160" i="7"/>
  <c r="H160" i="7"/>
  <c r="I160" i="7"/>
  <c r="F160" i="7"/>
  <c r="I129" i="7"/>
  <c r="E165" i="7"/>
  <c r="H165" i="7"/>
  <c r="I165" i="7"/>
  <c r="F165" i="7"/>
  <c r="G165" i="7"/>
  <c r="F168" i="7"/>
  <c r="H168" i="7"/>
  <c r="E168" i="7"/>
  <c r="I168" i="7"/>
  <c r="G168" i="7"/>
  <c r="G166" i="7"/>
  <c r="H166" i="7"/>
  <c r="I166" i="7"/>
  <c r="F166" i="7"/>
  <c r="E166" i="7"/>
  <c r="H164" i="7"/>
  <c r="I164" i="7"/>
  <c r="F164" i="7"/>
  <c r="E164" i="7"/>
  <c r="G164" i="7"/>
  <c r="E162" i="7"/>
  <c r="I162" i="7"/>
  <c r="H161" i="7"/>
  <c r="F161" i="7"/>
  <c r="I161" i="7"/>
  <c r="G161" i="7"/>
  <c r="E161" i="7"/>
  <c r="G129" i="7"/>
  <c r="E159" i="7"/>
  <c r="F159" i="7"/>
  <c r="G159" i="7"/>
  <c r="H159" i="7"/>
  <c r="I159" i="7"/>
  <c r="H183" i="7"/>
  <c r="I183" i="7"/>
  <c r="F183" i="7"/>
  <c r="F129" i="7"/>
  <c r="G68" i="7"/>
  <c r="H68" i="7"/>
  <c r="F68" i="7"/>
  <c r="E68" i="7"/>
  <c r="I68" i="7"/>
  <c r="E67" i="7"/>
  <c r="H67" i="7"/>
  <c r="I67" i="7"/>
  <c r="F67" i="7"/>
  <c r="G67" i="7"/>
  <c r="E65" i="7"/>
  <c r="I65" i="7"/>
  <c r="H65" i="7"/>
  <c r="F65" i="7"/>
  <c r="G65" i="7"/>
  <c r="I66" i="7"/>
  <c r="F66" i="7"/>
  <c r="E66" i="7"/>
  <c r="G66" i="7"/>
  <c r="H66" i="7"/>
  <c r="G64" i="7"/>
  <c r="H64" i="7"/>
  <c r="I64" i="7"/>
  <c r="F64" i="7"/>
  <c r="E64" i="7"/>
  <c r="F63" i="7"/>
  <c r="I63" i="7"/>
  <c r="H63" i="7"/>
  <c r="G63" i="7"/>
  <c r="E63" i="7"/>
  <c r="H62" i="7"/>
  <c r="I62" i="7"/>
  <c r="E62" i="7"/>
  <c r="F62" i="7"/>
  <c r="G62" i="7"/>
  <c r="E61" i="7"/>
  <c r="G61" i="7"/>
  <c r="H61" i="7"/>
  <c r="F61" i="7"/>
  <c r="I61" i="7"/>
  <c r="E58" i="7"/>
  <c r="I58" i="7"/>
  <c r="F58" i="7"/>
  <c r="G58" i="7"/>
  <c r="H58" i="7"/>
  <c r="G60" i="7"/>
  <c r="E60" i="7"/>
  <c r="H60" i="7"/>
  <c r="I60" i="7"/>
  <c r="F60" i="7"/>
  <c r="H59" i="7"/>
  <c r="G59" i="7"/>
  <c r="F59" i="7"/>
  <c r="I59" i="7"/>
  <c r="E59" i="7"/>
  <c r="E177" i="7"/>
  <c r="F177" i="7"/>
  <c r="G177" i="7"/>
  <c r="H177" i="7"/>
  <c r="I189" i="7"/>
  <c r="H69" i="7"/>
  <c r="E69" i="7"/>
  <c r="I69" i="7"/>
  <c r="E129" i="7"/>
  <c r="E192" i="7"/>
  <c r="E190" i="7" s="1"/>
  <c r="I179" i="7"/>
  <c r="E182" i="7"/>
  <c r="H182" i="7"/>
  <c r="F182" i="7"/>
  <c r="I182" i="7"/>
  <c r="G192" i="7"/>
  <c r="G190" i="7" s="1"/>
  <c r="H192" i="7"/>
  <c r="H190" i="7" s="1"/>
  <c r="G179" i="7"/>
  <c r="F192" i="7"/>
  <c r="F190" i="7" s="1"/>
  <c r="F179" i="7"/>
  <c r="H179" i="7"/>
  <c r="H114" i="7"/>
  <c r="I114" i="7"/>
  <c r="I130" i="7"/>
  <c r="I112" i="7"/>
  <c r="I50" i="7"/>
  <c r="I47" i="7" s="1"/>
  <c r="I33" i="7" s="1"/>
  <c r="H112" i="7"/>
  <c r="I133" i="7"/>
  <c r="G213" i="7"/>
  <c r="I123" i="7"/>
  <c r="I134" i="7"/>
  <c r="J169" i="7"/>
  <c r="I119" i="7"/>
  <c r="J163" i="7"/>
  <c r="H50" i="7"/>
  <c r="H47" i="7" s="1"/>
  <c r="H33" i="7" s="1"/>
  <c r="H147" i="7"/>
  <c r="I147" i="7"/>
  <c r="F186" i="7"/>
  <c r="I186" i="7"/>
  <c r="H186" i="7"/>
  <c r="J214" i="7"/>
  <c r="I178" i="7"/>
  <c r="E148" i="7"/>
  <c r="I148" i="7"/>
  <c r="H148" i="7"/>
  <c r="E157" i="7"/>
  <c r="H157" i="7"/>
  <c r="H154" i="7" s="1"/>
  <c r="H149" i="7" s="1"/>
  <c r="I157" i="7"/>
  <c r="I154" i="7" s="1"/>
  <c r="I149" i="7" s="1"/>
  <c r="G157" i="7"/>
  <c r="G154" i="7" s="1"/>
  <c r="G149" i="7" s="1"/>
  <c r="F157" i="7"/>
  <c r="F154" i="7" s="1"/>
  <c r="F149" i="7" s="1"/>
  <c r="I120" i="7"/>
  <c r="H170" i="7"/>
  <c r="I170" i="7"/>
  <c r="G170" i="7"/>
  <c r="F170" i="7"/>
  <c r="G184" i="7"/>
  <c r="H184" i="7"/>
  <c r="I184" i="7"/>
  <c r="I111" i="7"/>
  <c r="I115" i="7"/>
  <c r="G201" i="7"/>
  <c r="H189" i="7"/>
  <c r="H111" i="7"/>
  <c r="H115" i="7"/>
  <c r="I124" i="7"/>
  <c r="I181" i="7"/>
  <c r="H181" i="7"/>
  <c r="F209" i="7"/>
  <c r="F208" i="7" s="1"/>
  <c r="G186" i="7"/>
  <c r="E186" i="7"/>
  <c r="E184" i="7"/>
  <c r="J85" i="7"/>
  <c r="F184" i="7"/>
  <c r="J176" i="7"/>
  <c r="J185" i="7"/>
  <c r="J174" i="7"/>
  <c r="L119" i="5"/>
  <c r="E178" i="7"/>
  <c r="G178" i="7"/>
  <c r="L19" i="5"/>
  <c r="F178" i="7"/>
  <c r="G181" i="7"/>
  <c r="F181" i="7"/>
  <c r="E181" i="7"/>
  <c r="L39" i="5"/>
  <c r="E189" i="7"/>
  <c r="L48" i="5"/>
  <c r="F189" i="7"/>
  <c r="G189" i="7"/>
  <c r="L49" i="5"/>
  <c r="F148" i="7"/>
  <c r="L292" i="6"/>
  <c r="F138" i="7" s="1"/>
  <c r="F137" i="7" s="1"/>
  <c r="E138" i="7"/>
  <c r="E137" i="7" s="1"/>
  <c r="G148" i="7"/>
  <c r="E130" i="7"/>
  <c r="L84" i="5"/>
  <c r="F147" i="7"/>
  <c r="E147" i="7"/>
  <c r="G147" i="7"/>
  <c r="F50" i="7"/>
  <c r="F47" i="7" s="1"/>
  <c r="F33" i="7" s="1"/>
  <c r="G50" i="7"/>
  <c r="G47" i="7" s="1"/>
  <c r="G33" i="7" s="1"/>
  <c r="E112" i="7"/>
  <c r="E114" i="7"/>
  <c r="G112" i="7"/>
  <c r="G111" i="7"/>
  <c r="F111" i="7"/>
  <c r="F98" i="7" s="1"/>
  <c r="E115" i="7"/>
  <c r="G114" i="7"/>
  <c r="G130" i="7"/>
  <c r="F130" i="7"/>
  <c r="G115" i="7"/>
  <c r="G121" i="7"/>
  <c r="I122" i="7"/>
  <c r="L231" i="6"/>
  <c r="L250" i="6"/>
  <c r="I132" i="7"/>
  <c r="F80" i="7"/>
  <c r="F79" i="7" s="1"/>
  <c r="G80" i="7"/>
  <c r="G79" i="7" s="1"/>
  <c r="H80" i="7"/>
  <c r="H79" i="7" s="1"/>
  <c r="I80" i="7"/>
  <c r="I79" i="7" s="1"/>
  <c r="E80" i="7"/>
  <c r="L160" i="6"/>
  <c r="F94" i="7"/>
  <c r="H94" i="7"/>
  <c r="G94" i="7"/>
  <c r="I94" i="7"/>
  <c r="E94" i="7"/>
  <c r="J97" i="7"/>
  <c r="E95" i="7"/>
  <c r="I117" i="7"/>
  <c r="L219" i="6"/>
  <c r="F128" i="7"/>
  <c r="G128" i="7"/>
  <c r="H128" i="7"/>
  <c r="H127" i="7" s="1"/>
  <c r="H126" i="7" s="1"/>
  <c r="I128" i="7"/>
  <c r="E128" i="7"/>
  <c r="L241" i="6"/>
  <c r="L242" i="6" s="1"/>
  <c r="J83" i="7"/>
  <c r="J75" i="7"/>
  <c r="J74" i="7"/>
  <c r="J81" i="7"/>
  <c r="J76" i="7"/>
  <c r="J84" i="7"/>
  <c r="J73" i="7"/>
  <c r="J82" i="7"/>
  <c r="F77" i="7"/>
  <c r="G77" i="7"/>
  <c r="H77" i="7"/>
  <c r="I77" i="7"/>
  <c r="E77" i="7"/>
  <c r="E47" i="7"/>
  <c r="J39" i="7"/>
  <c r="H31" i="7"/>
  <c r="F31" i="7"/>
  <c r="E31" i="7"/>
  <c r="L129" i="6"/>
  <c r="G31" i="7"/>
  <c r="L206" i="6"/>
  <c r="J113" i="7"/>
  <c r="H32" i="7"/>
  <c r="I32" i="7"/>
  <c r="I30" i="7" s="1"/>
  <c r="G32" i="7"/>
  <c r="L171" i="6"/>
  <c r="F32" i="7"/>
  <c r="E32" i="7"/>
  <c r="J175" i="7" l="1"/>
  <c r="J206" i="7"/>
  <c r="C14" i="9" s="1"/>
  <c r="J203" i="7"/>
  <c r="J216" i="7"/>
  <c r="J205" i="7"/>
  <c r="E213" i="7"/>
  <c r="J134" i="7"/>
  <c r="E209" i="7"/>
  <c r="E208" i="7" s="1"/>
  <c r="J167" i="7"/>
  <c r="J204" i="7"/>
  <c r="J118" i="7"/>
  <c r="J210" i="7"/>
  <c r="J202" i="7"/>
  <c r="G209" i="7"/>
  <c r="G208" i="7" s="1"/>
  <c r="E116" i="7"/>
  <c r="J119" i="7"/>
  <c r="E121" i="7"/>
  <c r="H201" i="7"/>
  <c r="J201" i="7" s="1"/>
  <c r="C13" i="9" s="1"/>
  <c r="J123" i="7"/>
  <c r="H116" i="7"/>
  <c r="F131" i="7"/>
  <c r="F121" i="7"/>
  <c r="H121" i="7"/>
  <c r="J215" i="7"/>
  <c r="F213" i="7"/>
  <c r="J133" i="7"/>
  <c r="H213" i="7"/>
  <c r="H131" i="7"/>
  <c r="J124" i="7"/>
  <c r="J207" i="7"/>
  <c r="E131" i="7"/>
  <c r="J120" i="7"/>
  <c r="J139" i="7"/>
  <c r="J211" i="7"/>
  <c r="H209" i="7"/>
  <c r="H208" i="7" s="1"/>
  <c r="J70" i="7"/>
  <c r="I209" i="7"/>
  <c r="I208" i="7" s="1"/>
  <c r="J171" i="7"/>
  <c r="J95" i="7"/>
  <c r="I127" i="7"/>
  <c r="I126" i="7" s="1"/>
  <c r="G127" i="7"/>
  <c r="G126" i="7" s="1"/>
  <c r="F127" i="7"/>
  <c r="F126" i="7" s="1"/>
  <c r="J129" i="7"/>
  <c r="J166" i="7"/>
  <c r="J183" i="7"/>
  <c r="J177" i="7"/>
  <c r="H173" i="7"/>
  <c r="I173" i="7"/>
  <c r="J69" i="7"/>
  <c r="J182" i="7"/>
  <c r="G173" i="7"/>
  <c r="J192" i="7"/>
  <c r="J179" i="7"/>
  <c r="J190" i="7"/>
  <c r="F173" i="7"/>
  <c r="J165" i="7"/>
  <c r="J162" i="7"/>
  <c r="H98" i="7"/>
  <c r="J213" i="7"/>
  <c r="C16" i="9" s="1"/>
  <c r="I180" i="7"/>
  <c r="J157" i="7"/>
  <c r="J160" i="7"/>
  <c r="H146" i="7"/>
  <c r="G158" i="7"/>
  <c r="J161" i="7"/>
  <c r="E154" i="7"/>
  <c r="E149" i="7" s="1"/>
  <c r="J149" i="7" s="1"/>
  <c r="C9" i="9" s="1"/>
  <c r="H180" i="7"/>
  <c r="I98" i="7"/>
  <c r="J170" i="7"/>
  <c r="F158" i="7"/>
  <c r="J164" i="7"/>
  <c r="H158" i="7"/>
  <c r="I146" i="7"/>
  <c r="J168" i="7"/>
  <c r="I158" i="7"/>
  <c r="I138" i="7"/>
  <c r="I137" i="7" s="1"/>
  <c r="H138" i="7"/>
  <c r="H137" i="7" s="1"/>
  <c r="J184" i="7"/>
  <c r="G180" i="7"/>
  <c r="J186" i="7"/>
  <c r="F180" i="7"/>
  <c r="J189" i="7"/>
  <c r="E173" i="7"/>
  <c r="J178" i="7"/>
  <c r="J181" i="7"/>
  <c r="E180" i="7"/>
  <c r="E158" i="7"/>
  <c r="J159" i="7"/>
  <c r="G138" i="7"/>
  <c r="G137" i="7" s="1"/>
  <c r="F146" i="7"/>
  <c r="J148" i="7"/>
  <c r="G146" i="7"/>
  <c r="J212" i="7"/>
  <c r="E98" i="7"/>
  <c r="J47" i="7"/>
  <c r="J114" i="7"/>
  <c r="J50" i="7"/>
  <c r="J59" i="7"/>
  <c r="J112" i="7"/>
  <c r="J147" i="7"/>
  <c r="E146" i="7"/>
  <c r="J130" i="7"/>
  <c r="J111" i="7"/>
  <c r="G98" i="7"/>
  <c r="J115" i="7"/>
  <c r="F57" i="7"/>
  <c r="J60" i="7"/>
  <c r="J94" i="7"/>
  <c r="J68" i="7"/>
  <c r="I121" i="7"/>
  <c r="J122" i="7"/>
  <c r="J128" i="7"/>
  <c r="E127" i="7"/>
  <c r="I57" i="7"/>
  <c r="E33" i="7"/>
  <c r="H57" i="7"/>
  <c r="J62" i="7"/>
  <c r="I131" i="7"/>
  <c r="J132" i="7"/>
  <c r="G57" i="7"/>
  <c r="E57" i="7"/>
  <c r="I116" i="7"/>
  <c r="J117" i="7"/>
  <c r="J80" i="7"/>
  <c r="J79" i="7" s="1"/>
  <c r="E79" i="7"/>
  <c r="H72" i="7"/>
  <c r="H71" i="7" s="1"/>
  <c r="J78" i="7"/>
  <c r="G72" i="7"/>
  <c r="G71" i="7" s="1"/>
  <c r="F72" i="7"/>
  <c r="F71" i="7" s="1"/>
  <c r="I72" i="7"/>
  <c r="I71" i="7" s="1"/>
  <c r="J77" i="7"/>
  <c r="E72" i="7"/>
  <c r="J64" i="7"/>
  <c r="J67" i="7"/>
  <c r="J65" i="7"/>
  <c r="J66" i="7"/>
  <c r="J63" i="7"/>
  <c r="J58" i="7"/>
  <c r="J38" i="7"/>
  <c r="H30" i="7"/>
  <c r="F30" i="7"/>
  <c r="J31" i="7"/>
  <c r="E30" i="7"/>
  <c r="G30" i="7"/>
  <c r="J32" i="7"/>
  <c r="J131" i="7" l="1"/>
  <c r="B16" i="9" s="1"/>
  <c r="J121" i="7"/>
  <c r="B14" i="9" s="1"/>
  <c r="J116" i="7"/>
  <c r="B13" i="9" s="1"/>
  <c r="J209" i="7"/>
  <c r="I172" i="7"/>
  <c r="I222" i="7" s="1"/>
  <c r="H172" i="7"/>
  <c r="H222" i="7" s="1"/>
  <c r="H223" i="7" s="1"/>
  <c r="G172" i="7"/>
  <c r="G222" i="7" s="1"/>
  <c r="G223" i="7" s="1"/>
  <c r="F172" i="7"/>
  <c r="F222" i="7" s="1"/>
  <c r="F223" i="7" s="1"/>
  <c r="J154" i="7"/>
  <c r="J158" i="7"/>
  <c r="C10" i="9" s="1"/>
  <c r="J137" i="7"/>
  <c r="B18" i="9" s="1"/>
  <c r="E172" i="7"/>
  <c r="E222" i="7" s="1"/>
  <c r="J180" i="7"/>
  <c r="G140" i="7"/>
  <c r="G142" i="7" s="1"/>
  <c r="H140" i="7"/>
  <c r="H141" i="7" s="1"/>
  <c r="I140" i="7"/>
  <c r="J173" i="7"/>
  <c r="F140" i="7"/>
  <c r="F142" i="7" s="1"/>
  <c r="J138" i="7"/>
  <c r="E71" i="7"/>
  <c r="J208" i="7"/>
  <c r="C15" i="9" s="1"/>
  <c r="J33" i="7"/>
  <c r="B9" i="9" s="1"/>
  <c r="J146" i="7"/>
  <c r="C8" i="9" s="1"/>
  <c r="J98" i="7"/>
  <c r="B12" i="9" s="1"/>
  <c r="E126" i="7"/>
  <c r="J126" i="7" s="1"/>
  <c r="B15" i="9" s="1"/>
  <c r="J127" i="7"/>
  <c r="J72" i="7"/>
  <c r="J61" i="7"/>
  <c r="J57" i="7" s="1"/>
  <c r="B10" i="9" s="1"/>
  <c r="J30" i="7"/>
  <c r="B8" i="9" s="1"/>
  <c r="H224" i="7" l="1"/>
  <c r="I224" i="7"/>
  <c r="I223" i="7"/>
  <c r="J172" i="7"/>
  <c r="E140" i="7"/>
  <c r="E141" i="7" s="1"/>
  <c r="G224" i="7"/>
  <c r="E224" i="7"/>
  <c r="F224" i="7"/>
  <c r="H142" i="7"/>
  <c r="J71" i="7"/>
  <c r="I142" i="7"/>
  <c r="I141" i="7"/>
  <c r="F141" i="7"/>
  <c r="G141" i="7"/>
  <c r="J222" i="7" l="1"/>
  <c r="J8" i="7" s="1"/>
  <c r="C11" i="9"/>
  <c r="C19" i="9" s="1"/>
  <c r="J140" i="7"/>
  <c r="J142" i="7" s="1"/>
  <c r="B11" i="9"/>
  <c r="B19" i="9" s="1"/>
  <c r="E223" i="7"/>
  <c r="E142" i="7"/>
  <c r="J13" i="7" l="1"/>
  <c r="J141" i="7"/>
  <c r="J7" i="7"/>
  <c r="J9" i="7" s="1"/>
  <c r="J223" i="7"/>
  <c r="J224" i="7"/>
  <c r="B23" i="9"/>
  <c r="B22" i="9"/>
  <c r="B24" i="9" s="1"/>
  <c r="B21" i="9"/>
  <c r="J12" i="7" l="1"/>
  <c r="J14" i="7" s="1"/>
</calcChain>
</file>

<file path=xl/sharedStrings.xml><?xml version="1.0" encoding="utf-8"?>
<sst xmlns="http://schemas.openxmlformats.org/spreadsheetml/2006/main" count="2595" uniqueCount="711">
  <si>
    <t xml:space="preserve">Základní parametry řešení  </t>
  </si>
  <si>
    <t>bude skryto</t>
  </si>
  <si>
    <t>Veškeré uvedené hodnoty jsou</t>
  </si>
  <si>
    <t>v Kč bez DPH</t>
  </si>
  <si>
    <r>
      <t xml:space="preserve">Veškeré uvedené hodnoty v listech č. 1. Úvodní parametry, č. 2. Vstupní data on-premise a č. 3. Vstupní data cloud je třeba zadávat dle </t>
    </r>
    <r>
      <rPr>
        <b/>
        <sz val="10"/>
        <color rgb="FF000000"/>
        <rFont val="Calibri"/>
        <family val="2"/>
        <charset val="238"/>
      </rPr>
      <t>zde zvoleného</t>
    </r>
    <r>
      <rPr>
        <sz val="10"/>
        <color indexed="8"/>
        <rFont val="Calibri"/>
        <family val="2"/>
        <charset val="238"/>
      </rPr>
      <t xml:space="preserve"> parametru jednotně</t>
    </r>
  </si>
  <si>
    <t>Sazba DPH dle zákona</t>
  </si>
  <si>
    <t>Výběr délky projektu</t>
  </si>
  <si>
    <t>Délka projektu</t>
  </si>
  <si>
    <t>V letech</t>
  </si>
  <si>
    <t>Zobrazit jako jednorázový náklad v prvním roce?</t>
  </si>
  <si>
    <r>
      <t xml:space="preserve">Tento řádek slouží pro výběr parametru zobrazení ve výsledku porovnání - </t>
    </r>
    <r>
      <rPr>
        <b/>
        <sz val="10"/>
        <color rgb="FF000000"/>
        <rFont val="Calibri"/>
        <family val="2"/>
        <charset val="238"/>
        <scheme val="minor"/>
      </rPr>
      <t xml:space="preserve">pro jednorázové náklady v prvním roce </t>
    </r>
    <r>
      <rPr>
        <b/>
        <sz val="10"/>
        <color rgb="FFFF0000"/>
        <rFont val="Calibri"/>
        <family val="2"/>
        <scheme val="minor"/>
      </rPr>
      <t>projektu</t>
    </r>
    <r>
      <rPr>
        <sz val="10"/>
        <color indexed="8"/>
        <rFont val="Calibri"/>
        <family val="2"/>
        <scheme val="minor"/>
      </rPr>
      <t xml:space="preserve"> (nákladová kategorie A, B, C a Z)</t>
    </r>
  </si>
  <si>
    <t>NE</t>
  </si>
  <si>
    <t>Zobrazit jako jednorázový náklad v posledním roce?</t>
  </si>
  <si>
    <t>Nahradit slovo Projekt něčím vhodnějším a čím? Ne, ale popsat do uživatelské příručky co se myslí pojmem Projekt v kalkulátoru.</t>
  </si>
  <si>
    <r>
      <t xml:space="preserve">Tento řádek slouží pro výběr parametru zobrazení ve výsledku porovnání - </t>
    </r>
    <r>
      <rPr>
        <b/>
        <sz val="10"/>
        <color rgb="FF000000"/>
        <rFont val="Calibri"/>
        <family val="2"/>
        <charset val="238"/>
        <scheme val="minor"/>
      </rPr>
      <t xml:space="preserve">pro jednorázové náklady v posledním roce </t>
    </r>
    <r>
      <rPr>
        <b/>
        <sz val="10"/>
        <color rgb="FFFF0000"/>
        <rFont val="Calibri"/>
        <family val="2"/>
        <scheme val="minor"/>
      </rPr>
      <t>projektu</t>
    </r>
    <r>
      <rPr>
        <sz val="10"/>
        <color indexed="8"/>
        <rFont val="Calibri"/>
        <family val="2"/>
        <scheme val="minor"/>
      </rPr>
      <t xml:space="preserve"> (nákladová kategorie F, G a I)</t>
    </r>
  </si>
  <si>
    <t>ANO</t>
  </si>
  <si>
    <t>Uvažované řešení pro IaaS/PaaS/SaaS</t>
  </si>
  <si>
    <t>Možnosti</t>
  </si>
  <si>
    <t>Hodnota</t>
  </si>
  <si>
    <t>Komentář</t>
  </si>
  <si>
    <t>Produkt</t>
  </si>
  <si>
    <t>Nasazení</t>
  </si>
  <si>
    <t xml:space="preserve">Podpora 24/7 </t>
  </si>
  <si>
    <t>Pouze informace o zvažované úrovni podpory pro obě řešení</t>
  </si>
  <si>
    <t>Roční časový fond</t>
  </si>
  <si>
    <t>Hodin za rok</t>
  </si>
  <si>
    <t>216 dní x 8 hodin; Od pracovního fondu je odečtena dovolená</t>
  </si>
  <si>
    <t xml:space="preserve">Interní provoz a podpora </t>
  </si>
  <si>
    <t>Ne</t>
  </si>
  <si>
    <t>Použité jednotky</t>
  </si>
  <si>
    <t>Jednotka</t>
  </si>
  <si>
    <t>Měna</t>
  </si>
  <si>
    <t>Kč</t>
  </si>
  <si>
    <t>Hodina/rok</t>
  </si>
  <si>
    <t>kWh</t>
  </si>
  <si>
    <t>Hodina</t>
  </si>
  <si>
    <t>Počet MD</t>
  </si>
  <si>
    <t>kus</t>
  </si>
  <si>
    <t>Lidské zdroje</t>
  </si>
  <si>
    <t>Pomocné tabulky pro přepočet výsledku - BEZ DPH/S DPH</t>
  </si>
  <si>
    <t>Náklady na lidské zdroje</t>
  </si>
  <si>
    <t>Označení role</t>
  </si>
  <si>
    <t>Zadaná hodnota</t>
  </si>
  <si>
    <t>v Kč včetně DPH</t>
  </si>
  <si>
    <t>Role 1 - Hodinová sazba IT</t>
  </si>
  <si>
    <t>role - nerozlišujeme bez DPH a s DPH</t>
  </si>
  <si>
    <t>Role 2 - Hodinová sazba IT</t>
  </si>
  <si>
    <t>Role 3 - Hodinová sazba IT</t>
  </si>
  <si>
    <t>Složení nákladů na lidské zdroje</t>
  </si>
  <si>
    <t>Role 1 - Projektový manažer</t>
  </si>
  <si>
    <t>Hrubá mzda zaměstnance</t>
  </si>
  <si>
    <t>Celkové mzdové náklady včetně odvodů</t>
  </si>
  <si>
    <t>mzdové náklady na jednoho zaměstnance</t>
  </si>
  <si>
    <t>Náklady na vzdělávání (školení, semináře, konference vč. Cestovních nákladů)</t>
  </si>
  <si>
    <t>na jednoho zaměstnance</t>
  </si>
  <si>
    <t>Přímé náklady</t>
  </si>
  <si>
    <t>Osobní vybavení (notebook, telefon, atd.)</t>
  </si>
  <si>
    <t>Role 2 - Architekt, Analytik</t>
  </si>
  <si>
    <t>Role 3 - Specialista</t>
  </si>
  <si>
    <t>Nepřímé náklady na jednoho zaměstnance</t>
  </si>
  <si>
    <t>Kč za rok</t>
  </si>
  <si>
    <t>Zde se nepřímé náklady na jednoho zaměstnance zadávají pouze pokud se dají vyčíslit. Náklady, které se zde nedají přiřadit se uvádějí samostatně v kategoriích Z.1 a Z.2 ve vstupních datech on-premise a vstupních datech cloud.</t>
  </si>
  <si>
    <t>CELKEM role 1</t>
  </si>
  <si>
    <t>CELKEM role 2</t>
  </si>
  <si>
    <t>CELKEM role 3</t>
  </si>
  <si>
    <t>Předpokládaný počet uživatelů</t>
  </si>
  <si>
    <t>Počet uživatelů IT služby</t>
  </si>
  <si>
    <t>Počet</t>
  </si>
  <si>
    <t>Počet uživatelů IT nebo Cloud služby</t>
  </si>
  <si>
    <r>
      <rPr>
        <b/>
        <sz val="11"/>
        <color theme="1"/>
        <rFont val="Calibri"/>
        <family val="2"/>
        <charset val="238"/>
      </rPr>
      <t xml:space="preserve">Z.1 Provozní režie </t>
    </r>
    <r>
      <rPr>
        <sz val="11"/>
        <color theme="1"/>
        <rFont val="Calibri"/>
        <family val="2"/>
        <charset val="238"/>
      </rPr>
      <t>- k vyplnění pro dané řešení v listu 2. Vstupní data on-premise případně 3. Vstupní data cloud</t>
    </r>
  </si>
  <si>
    <r>
      <rPr>
        <b/>
        <sz val="11"/>
        <color theme="1"/>
        <rFont val="Calibri"/>
        <family val="2"/>
        <charset val="238"/>
      </rPr>
      <t>Z.2 Správní režie</t>
    </r>
    <r>
      <rPr>
        <sz val="11"/>
        <color theme="1"/>
        <rFont val="Calibri"/>
        <family val="2"/>
        <charset val="238"/>
      </rPr>
      <t xml:space="preserve"> - k vyplnění pro dané řešení v listu 2. Vstupní data on-premise případně 3. Vstupní data cloud</t>
    </r>
  </si>
  <si>
    <t>YES</t>
  </si>
  <si>
    <t>NO</t>
  </si>
  <si>
    <t>VAT not included</t>
  </si>
  <si>
    <t>VAT included</t>
  </si>
  <si>
    <t>Ostaní cizí</t>
  </si>
  <si>
    <t>year</t>
  </si>
  <si>
    <t>Kč/rok</t>
  </si>
  <si>
    <t>hour</t>
  </si>
  <si>
    <t>Kč/jednorázově</t>
  </si>
  <si>
    <t>hour/year</t>
  </si>
  <si>
    <t>month</t>
  </si>
  <si>
    <t>1 kWh</t>
  </si>
  <si>
    <t>IaaS</t>
  </si>
  <si>
    <t>PaaS</t>
  </si>
  <si>
    <t>SaaS</t>
  </si>
  <si>
    <t>one time charge</t>
  </si>
  <si>
    <t>item</t>
  </si>
  <si>
    <t>On premise řešení: náklady na software a hardware, náklady na umístění v datovém centru, náklady na změnu a náklady lidských zdrojů</t>
  </si>
  <si>
    <t>Náklady na software a hardware pro on-premise řešení</t>
  </si>
  <si>
    <t>Software</t>
  </si>
  <si>
    <t>sazba DPH</t>
  </si>
  <si>
    <t xml:space="preserve"> Požadovaná data do výsledku kalkulátoru</t>
  </si>
  <si>
    <t>jiné</t>
  </si>
  <si>
    <t>Operační systém a systémový software</t>
  </si>
  <si>
    <t>Operační systém</t>
  </si>
  <si>
    <t>součet řádek licence</t>
  </si>
  <si>
    <t>Operační systém - roční údržba</t>
  </si>
  <si>
    <t>součet řádek maintenance</t>
  </si>
  <si>
    <t>Virtualizace / hypervisor</t>
  </si>
  <si>
    <t>Virtualizace / hypervisor - roční údržba</t>
  </si>
  <si>
    <t>Antivirus/antispam licence</t>
  </si>
  <si>
    <t>Antivirus - roční údržba</t>
  </si>
  <si>
    <t>Zálohování</t>
  </si>
  <si>
    <t>Zálohovací SW - roční údržba</t>
  </si>
  <si>
    <t>Monitoring</t>
  </si>
  <si>
    <t>Monitoring - roční údržba</t>
  </si>
  <si>
    <t>Jiný software</t>
  </si>
  <si>
    <t>Jiný software - roční údržba</t>
  </si>
  <si>
    <t>Licence</t>
  </si>
  <si>
    <t>B.3.1</t>
  </si>
  <si>
    <t>Roční údržba (maintenance)</t>
  </si>
  <si>
    <t xml:space="preserve">E.2.1 </t>
  </si>
  <si>
    <t>Databázový software</t>
  </si>
  <si>
    <t>Databáze</t>
  </si>
  <si>
    <t xml:space="preserve"> B.3.3</t>
  </si>
  <si>
    <t>Databáze - roční údržba</t>
  </si>
  <si>
    <t xml:space="preserve">E.2.2 </t>
  </si>
  <si>
    <t>Vývojový software</t>
  </si>
  <si>
    <t>Licence vývojového SW</t>
  </si>
  <si>
    <t>B.4</t>
  </si>
  <si>
    <t>Poplatky za roční údržbu vývojového SW</t>
  </si>
  <si>
    <t>E.2.4</t>
  </si>
  <si>
    <t>Middleware a integrační software</t>
  </si>
  <si>
    <t>Zobrazit jako jednorázový náklad v prvním roce?
nebo
Výběr role 1-3</t>
  </si>
  <si>
    <t>Integrační software</t>
  </si>
  <si>
    <t>B.3.3</t>
  </si>
  <si>
    <t>Integrační SW- roční údržba</t>
  </si>
  <si>
    <t>E.2.3</t>
  </si>
  <si>
    <t>Úpravy/opravy/rozvoj vývojového, provozního i systémového SW (nad standardní údržbu)</t>
  </si>
  <si>
    <t>E.7</t>
  </si>
  <si>
    <t>úpravy</t>
  </si>
  <si>
    <t>Aplikační  software</t>
  </si>
  <si>
    <t>Aplikační software - licence</t>
  </si>
  <si>
    <t>B.5.1</t>
  </si>
  <si>
    <t>Aplikační software - roční údržba</t>
  </si>
  <si>
    <t>E.3</t>
  </si>
  <si>
    <t>Nákup vývoje na míru nebo vývoj vlastními silami</t>
  </si>
  <si>
    <t>Nákup vývoje na míru</t>
  </si>
  <si>
    <t>B.5.2</t>
  </si>
  <si>
    <t>Vývoj vlastními silami</t>
  </si>
  <si>
    <t>B.5.3 - pouze vstup</t>
  </si>
  <si>
    <t>jednorázově</t>
  </si>
  <si>
    <t>Vývoj vlastními silami - přepočteno na Kč</t>
  </si>
  <si>
    <t>B.5.3</t>
  </si>
  <si>
    <t>HW/SW zařízení (Appliance)</t>
  </si>
  <si>
    <t>HW pro appliance</t>
  </si>
  <si>
    <t>B.6.1</t>
  </si>
  <si>
    <t>SW pro appliance</t>
  </si>
  <si>
    <t>B.6.2</t>
  </si>
  <si>
    <t>E.4</t>
  </si>
  <si>
    <t xml:space="preserve">Úpravy/rozvoj HW/SW zařízení (Appliance, nad standardní údržbu) </t>
  </si>
  <si>
    <t>E.9</t>
  </si>
  <si>
    <t>Hardware</t>
  </si>
  <si>
    <t>Server</t>
  </si>
  <si>
    <t>Životnost Serveru</t>
  </si>
  <si>
    <t>Celková cena za veškeré servery</t>
  </si>
  <si>
    <t>B.2.1</t>
  </si>
  <si>
    <t xml:space="preserve">E.1.1 </t>
  </si>
  <si>
    <t xml:space="preserve">Úpravy/rozvoj HW a prvků síťové infrastruktury (nad standardní údržbu) </t>
  </si>
  <si>
    <t>E.6</t>
  </si>
  <si>
    <t>Diskové úložiště</t>
  </si>
  <si>
    <t>Velikost úložiště celkem</t>
  </si>
  <si>
    <t>TB</t>
  </si>
  <si>
    <t>Roční nárůst velikosti diskového úložiště</t>
  </si>
  <si>
    <t>SAN</t>
  </si>
  <si>
    <t>Pořizovací cena SAN úložiště</t>
  </si>
  <si>
    <t>Roční odpis SAN úložiště</t>
  </si>
  <si>
    <t xml:space="preserve">Jeden SAN obsahuje počet disků </t>
  </si>
  <si>
    <t>provazba do výsledku porovnání na počet jednotek v racku zabraných úložištěm</t>
  </si>
  <si>
    <t>Jeden SAN zabírá počet jednotek v racku</t>
  </si>
  <si>
    <t>Velikost disku</t>
  </si>
  <si>
    <t>provazba do výsledku porovnání na počet disků</t>
  </si>
  <si>
    <t>Zabezpečená kapacita</t>
  </si>
  <si>
    <t>%</t>
  </si>
  <si>
    <t>Pořizovací cena HW zálohování dat</t>
  </si>
  <si>
    <t>Roční odpis HW zálohování</t>
  </si>
  <si>
    <t>Networking a síťové prvky</t>
  </si>
  <si>
    <t>Router</t>
  </si>
  <si>
    <t>B.2.2</t>
  </si>
  <si>
    <t>Load Balancer</t>
  </si>
  <si>
    <t>Switch</t>
  </si>
  <si>
    <t>Jiný prvek</t>
  </si>
  <si>
    <t>Interní konektivita - podpora</t>
  </si>
  <si>
    <t>E.1.2</t>
  </si>
  <si>
    <t>Externí Konektivita</t>
  </si>
  <si>
    <t>D.3.2</t>
  </si>
  <si>
    <t>SW a HW pro zabezpečení</t>
  </si>
  <si>
    <t>Firewall</t>
  </si>
  <si>
    <t>do B.7.1</t>
  </si>
  <si>
    <t>HW pro kybernetickou bezpečnost</t>
  </si>
  <si>
    <t>Např. HW pro bezpečnostní monitoring např. Q-RADAR</t>
  </si>
  <si>
    <t>SW pro kybernetickou bezpečnost</t>
  </si>
  <si>
    <t>Např. SW pro bezpečnostní monitoring např. Q-RADAR</t>
  </si>
  <si>
    <t>do B.7.2</t>
  </si>
  <si>
    <t>Jiné HW prvky</t>
  </si>
  <si>
    <t>síťové Appliance, kabeláž, optické prvky atd</t>
  </si>
  <si>
    <t xml:space="preserve">SW pro zabezpečení </t>
  </si>
  <si>
    <t>SW pro správu klíčů, SW pro šifrování atp.</t>
  </si>
  <si>
    <t>SW pro zabezpečení - roční údržba</t>
  </si>
  <si>
    <t xml:space="preserve">E.5 </t>
  </si>
  <si>
    <t>Firewall - roční údržba</t>
  </si>
  <si>
    <t>HW/SW pro kybernetickou bezpečnost-roční údržba</t>
  </si>
  <si>
    <t>Jiný prvek - roční údržba</t>
  </si>
  <si>
    <t>Úpravy/opravy/rozvoj prostředků kybernetické bezpečnosti (nad standardní údržbu)</t>
  </si>
  <si>
    <t>E.10</t>
  </si>
  <si>
    <t>Koncová zařízení uživatele</t>
  </si>
  <si>
    <t>B.2.3</t>
  </si>
  <si>
    <t>Systémový SW pro koncová zařízení</t>
  </si>
  <si>
    <t>B.3.2</t>
  </si>
  <si>
    <t>Poplatky za údržbu koncových zařízení</t>
  </si>
  <si>
    <t>zahrnuje poplatky spojené s provozem</t>
  </si>
  <si>
    <t>E.1.3</t>
  </si>
  <si>
    <t>Náklady na umístění v datovém centru</t>
  </si>
  <si>
    <t>Stavební, provozní a komunikační infrastruktura</t>
  </si>
  <si>
    <t>Stavební infrastruktura</t>
  </si>
  <si>
    <t>B.1.1</t>
  </si>
  <si>
    <t>Provozní technologie</t>
  </si>
  <si>
    <t>B.1.2</t>
  </si>
  <si>
    <t>Napojení na externí komunikační sítě</t>
  </si>
  <si>
    <t>B.1.3</t>
  </si>
  <si>
    <t>Náklady na pořízení Racků</t>
  </si>
  <si>
    <t>Náklady na umístění Racků v datacentru</t>
  </si>
  <si>
    <t>D.3.1</t>
  </si>
  <si>
    <t>Elektřina</t>
  </si>
  <si>
    <t>Cena zálohovaného napájení za 1 kWh a chlazení</t>
  </si>
  <si>
    <t>Součin ceny za 1 kWh dodavatele elektrické energie a PUE</t>
  </si>
  <si>
    <t>vstup</t>
  </si>
  <si>
    <t>Spotřeba elektřiny za všechny servery za rok</t>
  </si>
  <si>
    <t>D.3.3.2</t>
  </si>
  <si>
    <t>Spotřeba elektřiny za všechna úložiště rok</t>
  </si>
  <si>
    <t>D.3.3.3</t>
  </si>
  <si>
    <t>Spotřeba elektřiny - ostatní HW za rok</t>
  </si>
  <si>
    <t>D.3.3.4</t>
  </si>
  <si>
    <t>Energie k zajištění provozu DC</t>
  </si>
  <si>
    <t>Pozor, aby nedošlo k dvojitému nákladu D.3.3.2, D.3.3.3, D.3.3.4 versus D.3.3.1</t>
  </si>
  <si>
    <t>D.3.3.1</t>
  </si>
  <si>
    <t>Náklady na provoz ICT služby - lidské zdroje</t>
  </si>
  <si>
    <t>Podpora pro uživatele</t>
  </si>
  <si>
    <t>Role (1 - 3)</t>
  </si>
  <si>
    <t>Sazba/hod</t>
  </si>
  <si>
    <t>Podpora: administrace uživatelů (přidání, změna, odebrání)</t>
  </si>
  <si>
    <t>D.1.5</t>
  </si>
  <si>
    <t>provoz</t>
  </si>
  <si>
    <t>Podpora: řízení incidentů</t>
  </si>
  <si>
    <t>Podpora: další relevantní aktivity</t>
  </si>
  <si>
    <t>Podpora: externí služba podpory</t>
  </si>
  <si>
    <t>Podpora celkem</t>
  </si>
  <si>
    <t>v Kč celkem za rok</t>
  </si>
  <si>
    <t>Provoz</t>
  </si>
  <si>
    <t>Provoz: Systémový monitoring</t>
  </si>
  <si>
    <t>D.2.1</t>
  </si>
  <si>
    <t>Provoz: Aplikační monitoring</t>
  </si>
  <si>
    <t>D.1.1</t>
  </si>
  <si>
    <t>Provoz: Administrace systému</t>
  </si>
  <si>
    <t>D.2.2</t>
  </si>
  <si>
    <t>Provoz: Administrace aplikací</t>
  </si>
  <si>
    <t>D.1.2</t>
  </si>
  <si>
    <t>Provoz: Řešení systémových problémů</t>
  </si>
  <si>
    <t>D.2.3</t>
  </si>
  <si>
    <t>Provoz: Řešení aplikačních problémů</t>
  </si>
  <si>
    <t>D.1.3</t>
  </si>
  <si>
    <t>Provoz: Řízení změn u systémů</t>
  </si>
  <si>
    <t>D.2.4</t>
  </si>
  <si>
    <t>Provoz: Řízení změn u aplikací</t>
  </si>
  <si>
    <t>D.1.4</t>
  </si>
  <si>
    <t>Provoz: System Service Desk a Incident management</t>
  </si>
  <si>
    <t>D.2.5</t>
  </si>
  <si>
    <t>Provoz: Zálohování (aplikační i systémové)</t>
  </si>
  <si>
    <t>Provoz: další relevantní aktivity pro aplikace</t>
  </si>
  <si>
    <t>D.1.6</t>
  </si>
  <si>
    <t>Provoz: další relevantní aktivity pro IT technologie</t>
  </si>
  <si>
    <t>D.2.6</t>
  </si>
  <si>
    <t>Provoz: provozní bezpečnost</t>
  </si>
  <si>
    <t>D.5.2</t>
  </si>
  <si>
    <t>provoz KB</t>
  </si>
  <si>
    <t xml:space="preserve">Úpravy/rozvoj aplikace (nad standardní údržbu) </t>
  </si>
  <si>
    <t>E.8</t>
  </si>
  <si>
    <t>do E8</t>
  </si>
  <si>
    <t>Provoz: bezpečnostní dohledy</t>
  </si>
  <si>
    <t>D.5.1</t>
  </si>
  <si>
    <t>Provoz: externí služba provozu aplikací</t>
  </si>
  <si>
    <t>Provoz: externí služba provozu IT technologií</t>
  </si>
  <si>
    <t>Provoz celkem</t>
  </si>
  <si>
    <t>Kybernetická bezpečnost</t>
  </si>
  <si>
    <t>Řízení: řízení projektu kybernetické bezpečnosti</t>
  </si>
  <si>
    <t xml:space="preserve">D.4 </t>
  </si>
  <si>
    <t>Řízení: další relevantní aktivity kybernetická bezpečnost</t>
  </si>
  <si>
    <t>Řízení: kybernetická bezpečnost</t>
  </si>
  <si>
    <t>Externí náklady zajištění kybernetické bezpečnosti</t>
  </si>
  <si>
    <t xml:space="preserve">Externí nákup: Kybernetická bezpečnost a bezpečnostní dohledy </t>
  </si>
  <si>
    <t xml:space="preserve">D.5.1 </t>
  </si>
  <si>
    <t>Externí náklady kybernetická bezpečnost</t>
  </si>
  <si>
    <t>penetrační testy, externí audity, konzultace</t>
  </si>
  <si>
    <t xml:space="preserve">D.5.2 </t>
  </si>
  <si>
    <t>Řízení celkem</t>
  </si>
  <si>
    <t>Celkem náklady k řízení KB služeb interními kapacitami</t>
  </si>
  <si>
    <t>souhrn se nikam nemapuje</t>
  </si>
  <si>
    <t>Celkem KB v Kč za rok</t>
  </si>
  <si>
    <t>Celkové náklady KB</t>
  </si>
  <si>
    <t>Náklady na zavedení a změnu ICT služby</t>
  </si>
  <si>
    <t>Požadovaná data do</t>
  </si>
  <si>
    <t>Náklady na zavedení ICT služby v režimu on-premise</t>
  </si>
  <si>
    <t xml:space="preserve"> výsledku kalkulátoru</t>
  </si>
  <si>
    <t>A. Plánování, analýzy. Zadání, výběr a nákup</t>
  </si>
  <si>
    <t>Projektový záměr- analýza TCO</t>
  </si>
  <si>
    <t>A.1</t>
  </si>
  <si>
    <t>nerozlišujeme bez DPH a s DPH</t>
  </si>
  <si>
    <t>Náklady na externí konzultace při přípravě projektu</t>
  </si>
  <si>
    <t>Náklady na výběr dodavatele- veřejná zakázka</t>
  </si>
  <si>
    <t>A.2</t>
  </si>
  <si>
    <t>Náklady na externí poradenství - veřejná zakázka</t>
  </si>
  <si>
    <t>Celkem  nákup</t>
  </si>
  <si>
    <t>v Kč celkem</t>
  </si>
  <si>
    <t>Dle údajů v Úvodních parametrech</t>
  </si>
  <si>
    <t>Bude zobrazeno ve výsledku porovnání dle vybraného parametru. ANO - zobrazeno v prvním roce; NE - zobrazeno do délky projektu.</t>
  </si>
  <si>
    <t>C. Vývoj, implementace, úpravy, integrace a zkušební provoz</t>
  </si>
  <si>
    <t>Vedení projektu vývoje a implementace na straně VS</t>
  </si>
  <si>
    <t>C.1</t>
  </si>
  <si>
    <t>Náklady na analýzu ICT služby</t>
  </si>
  <si>
    <t>C.3</t>
  </si>
  <si>
    <t>Náklady změn vyvolaných zavedením ICT služby</t>
  </si>
  <si>
    <t>Architektura řešení</t>
  </si>
  <si>
    <t>C.2</t>
  </si>
  <si>
    <t>Implementace HW a technologie</t>
  </si>
  <si>
    <t xml:space="preserve">C.4 </t>
  </si>
  <si>
    <t>Implementace infrastrukturního SW</t>
  </si>
  <si>
    <t>Vývoj a programové úpravy aplikace</t>
  </si>
  <si>
    <t>C.5</t>
  </si>
  <si>
    <t>Customizace řešení/ICT služeb</t>
  </si>
  <si>
    <t>C.6</t>
  </si>
  <si>
    <t>Integrace řešení/ICT služby na ostatní aplikace/systémy</t>
  </si>
  <si>
    <t>C.7</t>
  </si>
  <si>
    <t>Pořízení dat, migrace dat</t>
  </si>
  <si>
    <t>C.8</t>
  </si>
  <si>
    <t>Testování</t>
  </si>
  <si>
    <t>C.9</t>
  </si>
  <si>
    <t>Školení uživatelů</t>
  </si>
  <si>
    <t>C.10</t>
  </si>
  <si>
    <t>Akceptace a ověřovací provoz</t>
  </si>
  <si>
    <t>C.11</t>
  </si>
  <si>
    <t>Příprava kybernetická bezpečnost</t>
  </si>
  <si>
    <t>C.12</t>
  </si>
  <si>
    <t>Bezpečnostní projekt, audit</t>
  </si>
  <si>
    <t>Ostatní</t>
  </si>
  <si>
    <t xml:space="preserve"> Náklady na externí konzultace/poradenství</t>
  </si>
  <si>
    <t>C.13</t>
  </si>
  <si>
    <t>Celkem  implementace</t>
  </si>
  <si>
    <t>požadovaná data do výsledku kalkulátoru</t>
  </si>
  <si>
    <t>Projekty postupného zlepšování řešení</t>
  </si>
  <si>
    <t>Funkční (procesní) inovační rozvojové projekty</t>
  </si>
  <si>
    <t>F.1</t>
  </si>
  <si>
    <t>ukončení</t>
  </si>
  <si>
    <t>Technologické rozvojové projekty</t>
  </si>
  <si>
    <t>F.2</t>
  </si>
  <si>
    <t>Roll-out projekty (rozšíření na další uživatele, organizace)</t>
  </si>
  <si>
    <t>F.3</t>
  </si>
  <si>
    <t>Projekty optimalizace řešení (např. konsolidace HW)</t>
  </si>
  <si>
    <t>F.4</t>
  </si>
  <si>
    <t>Bude zobrazeno ve výsledku porovnání dle vybraného parametru. ANO - zobrazeno v posledním roce; NE - zobrazeno do délky projektu.</t>
  </si>
  <si>
    <t>Projekty Upgrade</t>
  </si>
  <si>
    <t>Projekty aplikačního upgrade</t>
  </si>
  <si>
    <t>G.1</t>
  </si>
  <si>
    <t>Projekty upgrade systémového SW</t>
  </si>
  <si>
    <t>G.2</t>
  </si>
  <si>
    <t>Projekty technologického upgrade</t>
  </si>
  <si>
    <t>G.3</t>
  </si>
  <si>
    <t>Infrastrukturní upgrade</t>
  </si>
  <si>
    <t>G.4</t>
  </si>
  <si>
    <t>Zvýšené náklady užívání</t>
  </si>
  <si>
    <t>Náklady ze ztráty produktivity - Tréninky</t>
  </si>
  <si>
    <t>H.1.1</t>
  </si>
  <si>
    <t>provoz zvýšené náklady</t>
  </si>
  <si>
    <t>Náklady ze ztráty produktivity - Odstávky a výpadky</t>
  </si>
  <si>
    <t>H.1.2</t>
  </si>
  <si>
    <t xml:space="preserve">Náklady spojené s užíváním řešení </t>
  </si>
  <si>
    <t>Pokles výkonnosti a efektivity v souvislosti s novým řešením</t>
  </si>
  <si>
    <t>H.2</t>
  </si>
  <si>
    <t>Náklady spojené s užíváním řešení</t>
  </si>
  <si>
    <t>Konzervace a ukončení řešení</t>
  </si>
  <si>
    <t>Archivace, zakonzervování a útlum řešení</t>
  </si>
  <si>
    <t>I.1</t>
  </si>
  <si>
    <t>Příprava dat pro migraci z řešení při ukončení</t>
  </si>
  <si>
    <t>I.2</t>
  </si>
  <si>
    <t>Likvidace komponent řešení</t>
  </si>
  <si>
    <t>I.3</t>
  </si>
  <si>
    <t>Provozní náklady (pouze v případě, že používáte pro TCO kalkulaci hybridního řešení)</t>
  </si>
  <si>
    <t>Poplatek za cloudové služby</t>
  </si>
  <si>
    <t>Vyplňujte pouze pro výpočet TCO IS pokud je daná služba součástí</t>
  </si>
  <si>
    <t>Celkem</t>
  </si>
  <si>
    <t>X.1</t>
  </si>
  <si>
    <r>
      <t xml:space="preserve">Režie (v případě, že jste </t>
    </r>
    <r>
      <rPr>
        <b/>
        <u/>
        <sz val="10"/>
        <color theme="0"/>
        <rFont val="Calibri"/>
        <family val="2"/>
      </rPr>
      <t xml:space="preserve">nepřímý </t>
    </r>
    <r>
      <rPr>
        <b/>
        <sz val="10"/>
        <color theme="0"/>
        <rFont val="Calibri"/>
        <family val="2"/>
      </rPr>
      <t>náklad započítali do role v listu 1. Úvodní parametry, zde již neuvádějte)</t>
    </r>
  </si>
  <si>
    <t>v Kč</t>
  </si>
  <si>
    <t>Provozní režie</t>
  </si>
  <si>
    <t>Zahrnuje položky ve vztahu k majetku například (budova, HW+SW, nábytek...)</t>
  </si>
  <si>
    <t>Provozní režie 1</t>
  </si>
  <si>
    <t>Z.1</t>
  </si>
  <si>
    <t>Provozní režie 2</t>
  </si>
  <si>
    <t>co to je, ročně/jednorázově</t>
  </si>
  <si>
    <t>Provozní režie 3</t>
  </si>
  <si>
    <t>tady to musíme vyplnit</t>
  </si>
  <si>
    <t>Provozní režie 4</t>
  </si>
  <si>
    <t>Provozní režie 5</t>
  </si>
  <si>
    <t>předpoklad, že prvozní režie je bez i včetně DPH</t>
  </si>
  <si>
    <t>Provozní režie 6</t>
  </si>
  <si>
    <t>Provozní režie 7</t>
  </si>
  <si>
    <t>Provozní režie 8</t>
  </si>
  <si>
    <t>Provozní režie 9</t>
  </si>
  <si>
    <t>Provozní režie 10</t>
  </si>
  <si>
    <t>Správní režie</t>
  </si>
  <si>
    <t>Zahrnuje položky ve vztahu k zaměstnancům, kteří nejsou do projektu kalkulování v rámci rolí (vedoucí, ředitel)</t>
  </si>
  <si>
    <t>Správní režie 1</t>
  </si>
  <si>
    <t>Z.2</t>
  </si>
  <si>
    <t>Správní režie 2</t>
  </si>
  <si>
    <t>Správní režie 3</t>
  </si>
  <si>
    <t>bez DPH</t>
  </si>
  <si>
    <t>Správní režie 4</t>
  </si>
  <si>
    <t>Správní režie 5</t>
  </si>
  <si>
    <t>Správní režie 6</t>
  </si>
  <si>
    <t>Správní režie 7</t>
  </si>
  <si>
    <t>Správní režie 8</t>
  </si>
  <si>
    <t>Správní režie 9</t>
  </si>
  <si>
    <t>Správní režie 10</t>
  </si>
  <si>
    <t>Dle údajů v Úvodních parametrech a to pro všechny položky této kapitoly Provozní režie a Správní režie</t>
  </si>
  <si>
    <t>Celkem provozní režie v Kč/rok</t>
  </si>
  <si>
    <t>Počet hodin na jednotlivé role - interní</t>
  </si>
  <si>
    <t>počet hodin celkem za 1 rok</t>
  </si>
  <si>
    <t>Roční provoz</t>
  </si>
  <si>
    <t>role 1</t>
  </si>
  <si>
    <t>role 2</t>
  </si>
  <si>
    <t>role 3</t>
  </si>
  <si>
    <t>Celkem provozní režie v Kč/jednorázově</t>
  </si>
  <si>
    <t>Úpravy</t>
  </si>
  <si>
    <t>Provoz KB</t>
  </si>
  <si>
    <t>CELKEM</t>
  </si>
  <si>
    <t>Celkem správní režie v Kč/rok</t>
  </si>
  <si>
    <t>Celkem MD</t>
  </si>
  <si>
    <t>Celkem MD na délku projektu</t>
  </si>
  <si>
    <t>počet hodin celkem</t>
  </si>
  <si>
    <t>Celkem správní režie v Kč/jednorázově</t>
  </si>
  <si>
    <t>Příprava projektu:</t>
  </si>
  <si>
    <t>Příprava jednorázově</t>
  </si>
  <si>
    <t>Upgrade, konzervace</t>
  </si>
  <si>
    <t xml:space="preserve"> </t>
  </si>
  <si>
    <t>Cloudové řešení: pořízení služeb, roční poplatek za službu a náklady lidských zdrojů</t>
  </si>
  <si>
    <t>Provozní náklady</t>
  </si>
  <si>
    <t>Roční poplatek za službu</t>
  </si>
  <si>
    <t>Níže uvedené položky zadávejte pouze v případě, že již nejsou součástí služby XaaS:</t>
  </si>
  <si>
    <t>Aplikační software - licence formou BYOL</t>
  </si>
  <si>
    <t>Neuvažujeme žádný další náklad (obsaženy v ceně cloud služby)</t>
  </si>
  <si>
    <t>B.5.1.</t>
  </si>
  <si>
    <t>Aplikační software - roční údržba formou BYOL</t>
  </si>
  <si>
    <t>Maintenance aplikačních licencí</t>
  </si>
  <si>
    <t>Bude E.3</t>
  </si>
  <si>
    <t>B.5.3 pro vstup</t>
  </si>
  <si>
    <t>Poplatky za údržbu Vývojového software</t>
  </si>
  <si>
    <t>E.2.4 - doplněno - kontrola</t>
  </si>
  <si>
    <t>Networking</t>
  </si>
  <si>
    <t>Externí Konektivita pro připojení do Cloudu</t>
  </si>
  <si>
    <r>
      <t>Pouze v případě, že již</t>
    </r>
    <r>
      <rPr>
        <b/>
        <sz val="10"/>
        <rFont val="Calibri"/>
        <family val="2"/>
        <charset val="238"/>
      </rPr>
      <t xml:space="preserve"> není součástí</t>
    </r>
    <r>
      <rPr>
        <sz val="10"/>
        <rFont val="Calibri"/>
        <family val="2"/>
      </rPr>
      <t xml:space="preserve"> služby XaaS</t>
    </r>
  </si>
  <si>
    <t>Interní &amp; externí náklady poskytování cloudové služby</t>
  </si>
  <si>
    <t>Celkem náklady nákupního procesu</t>
  </si>
  <si>
    <t>Náklady nákupního procesu</t>
  </si>
  <si>
    <t>Ročně</t>
  </si>
  <si>
    <t>Zahrnuje položky ve vztahu k zaměstnancům, kteří nejsou zařazeni v rámci rolí</t>
  </si>
  <si>
    <t>Kalkulace TCO nebo výsledky porovnání s cloudovou službou</t>
  </si>
  <si>
    <t>Náklady on-premise řešení</t>
  </si>
  <si>
    <t>Náklady cloudového řešení</t>
  </si>
  <si>
    <t>Počet MD zaměstnanců podílejících se na implementaci a provozu</t>
  </si>
  <si>
    <t>Příprava projektu</t>
  </si>
  <si>
    <t>&lt;</t>
  </si>
  <si>
    <t>&gt;</t>
  </si>
  <si>
    <t>On- premise řešení</t>
  </si>
  <si>
    <t>A</t>
  </si>
  <si>
    <t>Předběžné analýzy, zadání, výběr a nákup</t>
  </si>
  <si>
    <t>upraveno</t>
  </si>
  <si>
    <t>Projektový záměr a úvodní studie</t>
  </si>
  <si>
    <t>Cloud</t>
  </si>
  <si>
    <t>&gt;=</t>
  </si>
  <si>
    <t>Zadání a výběr dodavatele</t>
  </si>
  <si>
    <t>B</t>
  </si>
  <si>
    <t>Pořízení Hardware a Software</t>
  </si>
  <si>
    <t>B.1</t>
  </si>
  <si>
    <t>X</t>
  </si>
  <si>
    <t>Provozní technologie (včetně Racků)</t>
  </si>
  <si>
    <t>Napojení na interní/externí komunikační sítě</t>
  </si>
  <si>
    <t>B.2</t>
  </si>
  <si>
    <t>IT technologie (HW a interní sítě)</t>
  </si>
  <si>
    <t>Výpočetní HW</t>
  </si>
  <si>
    <t>Interní síťový HW</t>
  </si>
  <si>
    <t>B.3</t>
  </si>
  <si>
    <t>Licence systémového SW (základní SW nutný pro provoz aplikace)</t>
  </si>
  <si>
    <t>Serverový systémový SW</t>
  </si>
  <si>
    <t>Middleware a Integrační software</t>
  </si>
  <si>
    <t>Licence vývojového SW pro vývoj aplikace</t>
  </si>
  <si>
    <t>B.5</t>
  </si>
  <si>
    <t>Pořízení aplikačního SW</t>
  </si>
  <si>
    <t>Licence balíkového řešení</t>
  </si>
  <si>
    <t>B.6</t>
  </si>
  <si>
    <t>B.7</t>
  </si>
  <si>
    <t>Prostředky kybernetické bezpečnosti</t>
  </si>
  <si>
    <t>B.7.1</t>
  </si>
  <si>
    <t>Bezpečnostní HW</t>
  </si>
  <si>
    <t>B.7.2</t>
  </si>
  <si>
    <t>Bezpečnostní SW</t>
  </si>
  <si>
    <t>C.</t>
  </si>
  <si>
    <t>Vývoj, implementace, integrace a zkušební provoz</t>
  </si>
  <si>
    <t>Vedení projektu vývoje a implementace</t>
  </si>
  <si>
    <t>Architektura řešení, včetně změněných procesů</t>
  </si>
  <si>
    <t>Organizační a procesní změny (OCM, BPM)</t>
  </si>
  <si>
    <t>C.4</t>
  </si>
  <si>
    <t>Oživení HW a technologie vývojového a implementačního prostředí</t>
  </si>
  <si>
    <t>Customizace (nastavení parametrů) aplikace</t>
  </si>
  <si>
    <t>Integrace aplikace na ostatní aplikace</t>
  </si>
  <si>
    <t>Implementace HW a SW pro KB, implementace bezpečnosti, audit</t>
  </si>
  <si>
    <t>Ostatní přímé náklady na pořízení řešení</t>
  </si>
  <si>
    <t>D.</t>
  </si>
  <si>
    <t xml:space="preserve">Provoz a podpora řešení </t>
  </si>
  <si>
    <t>D.1</t>
  </si>
  <si>
    <t>Provoz a podpora aplikací</t>
  </si>
  <si>
    <t>Aplikační monitoring</t>
  </si>
  <si>
    <t>Administrace aplikací</t>
  </si>
  <si>
    <t>Problém management aplikací</t>
  </si>
  <si>
    <t>Sofware change management aplikací</t>
  </si>
  <si>
    <t>Aplikační Service Desk a Incident management</t>
  </si>
  <si>
    <t>Všeobecné a administrativní náklady pro provoz aplikací</t>
  </si>
  <si>
    <t>D.2</t>
  </si>
  <si>
    <t>Provoz a podpora IT technologií</t>
  </si>
  <si>
    <t>System Monitoring</t>
  </si>
  <si>
    <t>Administrace systému</t>
  </si>
  <si>
    <t>Problém management systému</t>
  </si>
  <si>
    <t>Software Change Management</t>
  </si>
  <si>
    <t>System Service Desk a Incident management</t>
  </si>
  <si>
    <t>Všeobecné a administrativní náklady pro provoz systému</t>
  </si>
  <si>
    <t>D.3</t>
  </si>
  <si>
    <t>Provoz budova technologií datového centra</t>
  </si>
  <si>
    <t>Provoz a podpora technologie DC</t>
  </si>
  <si>
    <t>Provoz komunikační infrastruktury</t>
  </si>
  <si>
    <t>D.3.3</t>
  </si>
  <si>
    <t>D.3.3.1 Energie k zajištění provozu DC</t>
  </si>
  <si>
    <t>D.3.3.2 Elektřina - přímá spotřeba servery</t>
  </si>
  <si>
    <t>D.3.3.3 Elektřina - přímá spotřeba úložiště</t>
  </si>
  <si>
    <t>D.3.3.4 Elektřina - přímá spotřeba ostatní</t>
  </si>
  <si>
    <t>Provoz a podpora prostředků kybernetické bezpečnosti</t>
  </si>
  <si>
    <t>D.5</t>
  </si>
  <si>
    <t>Zajištění kybernetické bezpečnosti provozu řešení a dodávky služeb</t>
  </si>
  <si>
    <t>Kybernetická bezpečnost a bezpečnostní dohledy </t>
  </si>
  <si>
    <t>Provozní bezpečnost (penetrační testy, externí audity, konzultace)</t>
  </si>
  <si>
    <t>E</t>
  </si>
  <si>
    <t>Hardware/Software údržba a průběžné úpravy (ne v případě Cloud)</t>
  </si>
  <si>
    <t>E.1</t>
  </si>
  <si>
    <t>Poplatky za údržbu HW a prvků síťové infrastruktury</t>
  </si>
  <si>
    <t>E.1.1</t>
  </si>
  <si>
    <t>Poplatky za údržbu HW prvků a infrastruktury</t>
  </si>
  <si>
    <t>Poplatky za údržbu komunikační infrastruktury</t>
  </si>
  <si>
    <t>E.2</t>
  </si>
  <si>
    <t>Poplatky za údržbu vývojového, provozního i systémového SW a DB</t>
  </si>
  <si>
    <t>E.2.1</t>
  </si>
  <si>
    <t xml:space="preserve">Poplatky za údržbu systémového SW </t>
  </si>
  <si>
    <t>E.2.2</t>
  </si>
  <si>
    <t>Poplatky za údržbu DB</t>
  </si>
  <si>
    <t>Poplatky za údržbu Middleware</t>
  </si>
  <si>
    <t>Poplatky za údržbu aplikačního SW</t>
  </si>
  <si>
    <t>Poplatky za údržbu HW+SW zařízení (Appliance)</t>
  </si>
  <si>
    <t>E.5</t>
  </si>
  <si>
    <t>Poplatky za roční standardní údržbu prostředků kybernetické bezpečnosti</t>
  </si>
  <si>
    <t>Úpravy/opravy/rozvoj HW a prvků síťové infrastruktury (nad standardní údržbu)</t>
  </si>
  <si>
    <t>Úpravy/opravy/rozvoj aplikace (nad standardní údržbu) – průběžné (interní, liniově řízené)</t>
  </si>
  <si>
    <t>Úpravy/opravy/rozvoj HW+SW zařízení (Appliance) (nad standardní údržbu)</t>
  </si>
  <si>
    <t>F</t>
  </si>
  <si>
    <t>Poslední rok projektu</t>
  </si>
  <si>
    <t>Cloud (optimalizace IaaS)</t>
  </si>
  <si>
    <t>G</t>
  </si>
  <si>
    <t>Projekty infrastrukturního upgrade</t>
  </si>
  <si>
    <t>H</t>
  </si>
  <si>
    <t>ročně</t>
  </si>
  <si>
    <t>H.1</t>
  </si>
  <si>
    <t>Náklady ze ztráty produktivity</t>
  </si>
  <si>
    <t>H.1.1 Tréninky</t>
  </si>
  <si>
    <t>Odstávky a výpadky</t>
  </si>
  <si>
    <t>I</t>
  </si>
  <si>
    <t>Řešení jako služba (Licence SW, HW, provoz, podpora, údržba, průběžný rozvoj) - (pouze Cloud)</t>
  </si>
  <si>
    <t>Poplatek za cloudové služby (IaaS, PaaS, SaaS)</t>
  </si>
  <si>
    <t>Z</t>
  </si>
  <si>
    <t>Ostatní, k fázi životního cyklu řešení nepřiřaditelné náklady</t>
  </si>
  <si>
    <t xml:space="preserve">Ostatní provozní režie </t>
  </si>
  <si>
    <t>Ostaní správní režie</t>
  </si>
  <si>
    <t>Celkem náklady on-premise řešení</t>
  </si>
  <si>
    <t>Celkem náklady on-premise řešení v tis. Kč</t>
  </si>
  <si>
    <t>Celkem náklady on-premise řešení na 1 uživatele v Kč</t>
  </si>
  <si>
    <t>Cloudové řešení</t>
  </si>
  <si>
    <t>upraveno - doplněno</t>
  </si>
  <si>
    <t>HW/SW údržba nad rámec XaaS</t>
  </si>
  <si>
    <t>upraveno - kontrola doplnění</t>
  </si>
  <si>
    <t>Řešení jako služba (Licence SW, HW, provoz, podpora, údržba, průběžný rozvoj)</t>
  </si>
  <si>
    <t>Celkem náklady cloudové řešení</t>
  </si>
  <si>
    <t>Celkem náklady cloudové řešení v tis. Kč</t>
  </si>
  <si>
    <t>Celkem náklady cloudové řešení na 1 uživatele v Kč</t>
  </si>
  <si>
    <t>Vývoj velikosti řešení</t>
  </si>
  <si>
    <t>ROK 1</t>
  </si>
  <si>
    <t>ROK 2</t>
  </si>
  <si>
    <t>ROK 3</t>
  </si>
  <si>
    <t>ROK 4</t>
  </si>
  <si>
    <t>ROK 5</t>
  </si>
  <si>
    <t>Nárůst diskového úložiště</t>
  </si>
  <si>
    <t>kontrola vazeb na propočet, vazba do B.2.1</t>
  </si>
  <si>
    <t>Velikost diskového úložiště</t>
  </si>
  <si>
    <t>kontrola vazeb na propočet, nárůst dle procent</t>
  </si>
  <si>
    <t>Počet disků</t>
  </si>
  <si>
    <t>Počet jednotek v racku zabraných úložištěm</t>
  </si>
  <si>
    <t xml:space="preserve">propočet </t>
  </si>
  <si>
    <t>Nákladová kategorie A, B, C a Z - náklady jsou jednorázové na začátku projektu, lze je zobrazit i jako rozložené do délky projektu. Parametr zobrazení je zadán v Úvodních parametrech.</t>
  </si>
  <si>
    <t>Nákladová kategorie F, G a I - náklady jsou jednorázové na konci projektu, lze je zobrazit i jako rozložené do délky projektu. Parametr zobrazení je zadán v Úvodních parametrech.</t>
  </si>
  <si>
    <t>Celková cena za období projektu</t>
  </si>
  <si>
    <t>Délka projektu v letech</t>
  </si>
  <si>
    <t xml:space="preserve">Hodnoty jsou uvedeny v </t>
  </si>
  <si>
    <t>Nákladová kategorie</t>
  </si>
  <si>
    <t>ON-premise řešení</t>
  </si>
  <si>
    <t>A. Předběžné analýzy, zadání, výběr a nákup</t>
  </si>
  <si>
    <t>B. Pořízení Hardware a Software</t>
  </si>
  <si>
    <t>C. Vývoj, implementace, integrace a zkušební provoz</t>
  </si>
  <si>
    <t xml:space="preserve">D. Provoz a podpora řešení </t>
  </si>
  <si>
    <t>F. Projekty postupného zlepšování řešení</t>
  </si>
  <si>
    <t>G. Projekty Upgrade</t>
  </si>
  <si>
    <t>H. Zvýšené náklady užívání</t>
  </si>
  <si>
    <t>I. Konzervace a ukončení řešení</t>
  </si>
  <si>
    <t>Z. Ostatní, k fázi životního cyklu řešení nepřiřaditelné náklady</t>
  </si>
  <si>
    <t>Rozdíl v Kč</t>
  </si>
  <si>
    <t>Rozdíl v %</t>
  </si>
  <si>
    <t>Finančně výhodnější varianta</t>
  </si>
  <si>
    <t>Finanční porovnání (limit 2% z rozdílu cen)</t>
  </si>
  <si>
    <t>Zkratka/pojem</t>
  </si>
  <si>
    <t>Vysvětlení</t>
  </si>
  <si>
    <t>Appliance</t>
  </si>
  <si>
    <t>Zařízení kombinující hardware, software případně í firmware určené pro specifickou potřebu (databázová appliance, appliance kombinující funkci routeru a firewallu apod)</t>
  </si>
  <si>
    <t>BYOL</t>
  </si>
  <si>
    <t>DB</t>
  </si>
  <si>
    <t>DC</t>
  </si>
  <si>
    <t>Datové centrum</t>
  </si>
  <si>
    <t>eGC</t>
  </si>
  <si>
    <t>eGovernment cloud</t>
  </si>
  <si>
    <t>eGC kalkulátor</t>
  </si>
  <si>
    <t xml:space="preserve">Tabulkový kalkulátor Excel pro výpočet TCO </t>
  </si>
  <si>
    <t>Hybridní řešení</t>
  </si>
  <si>
    <t xml:space="preserve">Řešení kombinuje on-premise a Cloud </t>
  </si>
  <si>
    <t>Infrastructure as a Service / Infrastruktura jako služba</t>
  </si>
  <si>
    <t>KB</t>
  </si>
  <si>
    <t>kybernetická bezpečnost</t>
  </si>
  <si>
    <t>MD</t>
  </si>
  <si>
    <t>Man day, člověkoden</t>
  </si>
  <si>
    <t>OHA</t>
  </si>
  <si>
    <t>Odbor hlavního architekta</t>
  </si>
  <si>
    <t>On-premise</t>
  </si>
  <si>
    <t>Vlastní infrastruktura provozovaná ve vlastním datacentru nebo serverovně</t>
  </si>
  <si>
    <t>OVM</t>
  </si>
  <si>
    <t>Orgán veřejné moci</t>
  </si>
  <si>
    <t>Platform as a Service / Platforma jako služba</t>
  </si>
  <si>
    <t>Software as a Service / Software jako služba</t>
  </si>
  <si>
    <t xml:space="preserve">Storage Area Network </t>
  </si>
  <si>
    <t>TCO</t>
  </si>
  <si>
    <t>XaaS</t>
  </si>
  <si>
    <t>Obecné označení pro služby IaaS, PaaS, SaaS</t>
  </si>
  <si>
    <t>Outsourcing</t>
  </si>
  <si>
    <t>Kompletní nebo částečné převzetí IT a provoz externím dodavetelem</t>
  </si>
  <si>
    <t>Managed service</t>
  </si>
  <si>
    <t>Kompletní správa vybrané oblasti IT externím dodavatelem (servery, sítě, aplikace, kybernetická bezpečnost)</t>
  </si>
  <si>
    <r>
      <t>Bring your own license – možnost přenést nakoupené licence do cloudu</t>
    </r>
    <r>
      <rPr>
        <sz val="9"/>
        <color rgb="FF000000"/>
        <rFont val="Times New Roman"/>
        <family val="1"/>
        <charset val="238"/>
      </rPr>
      <t> </t>
    </r>
  </si>
  <si>
    <r>
      <t>Total Cost of Ownership</t>
    </r>
    <r>
      <rPr>
        <sz val="9"/>
        <color rgb="FF000000"/>
        <rFont val="Arial"/>
        <family val="2"/>
        <charset val="238"/>
      </rPr>
      <t>. Metoda hodnocení celkových nákladů na vlastnictví produktu nebo služby. Prostřednictvím TCO se vyjadřují kompletní náklady na investici a její provoz, zohledňující nejen pořizovací cenu, ale také výdaje vznikající vlastnictvím hodnocených statků. Pro případ eGC se prostřenictvím TCO hodnotí náklady na provoz služby ve státní, resp. komerční části cloudu.</t>
    </r>
  </si>
  <si>
    <t>Zpracovali:
Ing. Judita Jamrichová, MBA
Ing. Petr Leština
Mgr. Martin Dolný</t>
  </si>
  <si>
    <t>Digitální a informační agentura
eGC kalkulátor</t>
  </si>
  <si>
    <t>zde disky - nárůst</t>
  </si>
  <si>
    <t>Pořizovací cena serverů</t>
  </si>
  <si>
    <t>Roční náklady na údržbu serverů</t>
  </si>
  <si>
    <t>rok</t>
  </si>
  <si>
    <t>% / rok</t>
  </si>
  <si>
    <t>jednotka</t>
  </si>
  <si>
    <t>Hodiny pro činnosti, které nelze zařadit do výše uvedených popisů činností.</t>
  </si>
  <si>
    <t>externí nákup</t>
  </si>
  <si>
    <t>Ostaní</t>
  </si>
  <si>
    <t>provazba do výsledku porovnání na velikost diskového úložiště, následně dopad do výpočtu B.2.1</t>
  </si>
  <si>
    <t>B.2.1, současně nárůst v letech dle % ročního nárůstu diskového úložiště</t>
  </si>
  <si>
    <t>souhrn</t>
  </si>
  <si>
    <r>
      <rPr>
        <b/>
        <sz val="10"/>
        <color rgb="FF00B050"/>
        <rFont val="Calibri"/>
        <family val="2"/>
        <charset val="238"/>
        <scheme val="minor"/>
      </rPr>
      <t>Úspora/</t>
    </r>
    <r>
      <rPr>
        <b/>
        <sz val="10"/>
        <color rgb="FFFF0000"/>
        <rFont val="Calibri"/>
        <family val="2"/>
        <charset val="238"/>
        <scheme val="minor"/>
      </rPr>
      <t>zdražení</t>
    </r>
    <r>
      <rPr>
        <b/>
        <sz val="10"/>
        <rFont val="Calibri"/>
        <family val="2"/>
        <scheme val="minor"/>
      </rPr>
      <t xml:space="preserve"> při přechodu na cloudové řešení</t>
    </r>
  </si>
  <si>
    <r>
      <rPr>
        <b/>
        <sz val="10"/>
        <color rgb="FF00B050"/>
        <rFont val="Calibri"/>
        <family val="2"/>
        <charset val="238"/>
        <scheme val="minor"/>
      </rPr>
      <t>Úspora</t>
    </r>
    <r>
      <rPr>
        <b/>
        <sz val="10"/>
        <rFont val="Calibri"/>
        <family val="2"/>
        <scheme val="minor"/>
      </rPr>
      <t>/</t>
    </r>
    <r>
      <rPr>
        <b/>
        <sz val="10"/>
        <color rgb="FFFF0000"/>
        <rFont val="Calibri"/>
        <family val="2"/>
        <charset val="238"/>
        <scheme val="minor"/>
      </rPr>
      <t>zdražení</t>
    </r>
    <r>
      <rPr>
        <b/>
        <sz val="10"/>
        <rFont val="Calibri"/>
        <family val="2"/>
        <scheme val="minor"/>
      </rPr>
      <t xml:space="preserve"> při přechodu na cloudové řešení</t>
    </r>
  </si>
  <si>
    <r>
      <rPr>
        <b/>
        <sz val="10"/>
        <color rgb="FF00B050"/>
        <rFont val="Calibri"/>
        <family val="2"/>
        <charset val="238"/>
        <scheme val="minor"/>
      </rPr>
      <t>Úspora</t>
    </r>
    <r>
      <rPr>
        <b/>
        <sz val="10"/>
        <rFont val="Calibri"/>
        <family val="2"/>
        <charset val="238"/>
        <scheme val="minor"/>
      </rPr>
      <t>/</t>
    </r>
    <r>
      <rPr>
        <b/>
        <sz val="10"/>
        <color rgb="FFFF0000"/>
        <rFont val="Calibri"/>
        <family val="2"/>
        <charset val="238"/>
        <scheme val="minor"/>
      </rPr>
      <t xml:space="preserve">nárůst </t>
    </r>
    <r>
      <rPr>
        <b/>
        <sz val="10"/>
        <color indexed="8"/>
        <rFont val="Calibri"/>
        <family val="2"/>
        <scheme val="minor"/>
      </rPr>
      <t>MD při přechodu na cloudové řešení - provoz</t>
    </r>
  </si>
  <si>
    <r>
      <rPr>
        <b/>
        <sz val="10"/>
        <color rgb="FF00B050"/>
        <rFont val="Calibri"/>
        <family val="2"/>
        <charset val="238"/>
        <scheme val="minor"/>
      </rPr>
      <t>Úspora</t>
    </r>
    <r>
      <rPr>
        <b/>
        <sz val="10"/>
        <rFont val="Calibri"/>
        <family val="2"/>
        <charset val="238"/>
        <scheme val="minor"/>
      </rPr>
      <t>/</t>
    </r>
    <r>
      <rPr>
        <b/>
        <sz val="10"/>
        <color rgb="FFFF0000"/>
        <rFont val="Calibri"/>
        <family val="2"/>
        <charset val="238"/>
        <scheme val="minor"/>
      </rPr>
      <t>nárůst</t>
    </r>
    <r>
      <rPr>
        <b/>
        <sz val="10"/>
        <color indexed="8"/>
        <rFont val="Calibri"/>
        <family val="2"/>
        <scheme val="minor"/>
      </rPr>
      <t xml:space="preserve"> MD při přechodu na cloudové řešení - příprava</t>
    </r>
  </si>
  <si>
    <t xml:space="preserve">X. Řešení jako služba (Licence SW, HW, provoz, podpora, údržba, průběžný rozvoj) </t>
  </si>
  <si>
    <t xml:space="preserve">E. Hardware/Software údržba a průběžné úpravy </t>
  </si>
  <si>
    <t xml:space="preserve">Middleware </t>
  </si>
  <si>
    <t>Middleware  - licence formou BYOL</t>
  </si>
  <si>
    <t>Middleware - roční údržba formou BYOL</t>
  </si>
  <si>
    <t xml:space="preserve">Maintenance </t>
  </si>
  <si>
    <t>Software (nad rámec služby XaaS)</t>
  </si>
  <si>
    <t>Infrastrukturní SW  - licence formou BYOL</t>
  </si>
  <si>
    <t>vlastní operační systém, monitoring, zálohování</t>
  </si>
  <si>
    <t>Infrastrukturní SW - roční údržba formou BYOL</t>
  </si>
  <si>
    <t>Infrastrukturní SW (systémový SW)</t>
  </si>
  <si>
    <t>Např. databáze, integrační SW,  správa klíčů, aplikační servery</t>
  </si>
  <si>
    <t>Přepočet na MD - příprava projektu (on-premise)</t>
  </si>
  <si>
    <t>Přepočet na MD - provoz (on-premise)</t>
  </si>
  <si>
    <t>Přepočet na MD - příprava projektu (cloud)</t>
  </si>
  <si>
    <t>Přepočet na MD - provoz (cloud)</t>
  </si>
  <si>
    <r>
      <t xml:space="preserve">slouží pro výběr zobrazení ve výsledku porovnání. ANO - </t>
    </r>
    <r>
      <rPr>
        <b/>
        <sz val="8"/>
        <color rgb="FF000000"/>
        <rFont val="Calibri"/>
        <family val="2"/>
        <charset val="238"/>
      </rPr>
      <t>zobrazeno v prvním roce</t>
    </r>
    <r>
      <rPr>
        <sz val="8"/>
        <color indexed="8"/>
        <rFont val="Calibri"/>
        <family val="2"/>
        <charset val="238"/>
      </rPr>
      <t>; NE - zobrazeno do délky projektu, dle tohoto výběru bude stejné zobrazení do výsledku porovnání i pro cloudové řešení</t>
    </r>
  </si>
  <si>
    <r>
      <t xml:space="preserve">slouží pro výběr zobrazení ve výsledku porovnání. ANO - </t>
    </r>
    <r>
      <rPr>
        <b/>
        <sz val="8"/>
        <color rgb="FF000000"/>
        <rFont val="Calibri"/>
        <family val="2"/>
        <charset val="238"/>
      </rPr>
      <t>zobrazeno v posledním roce</t>
    </r>
    <r>
      <rPr>
        <sz val="8"/>
        <color indexed="8"/>
        <rFont val="Calibri"/>
        <family val="2"/>
      </rPr>
      <t>; NE - zobrazeno do délky projektu, dle tohoto výběru bude stejné zobrazení do výsledku porovnání i pro cloudové řešení</t>
    </r>
  </si>
  <si>
    <t>Zde uveďte o jakou režii se jedná (např.odpis budovy DC)</t>
  </si>
  <si>
    <t>Zde uveďte o jakou režii se jedná (např. odpis budovy DC)</t>
  </si>
  <si>
    <t>režie OVM spojená s provozem dané aplikace, systému, služby</t>
  </si>
  <si>
    <t>Výběr parametru Kč/rok 
nebo Kč jednorázově</t>
  </si>
  <si>
    <t>Plátci DPH vždy hodnotí cenu v Kč bez DPH</t>
  </si>
  <si>
    <t>Neplátci DPH vždy hodnotí cenu v Kč včetně DPH</t>
  </si>
  <si>
    <t>Pro relevantní výsledky je nutné vyplnit vstupy v listu č. 1, listu č. 2 a listu č.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</si>
</sst>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44" formatCode="_-* #,##0.00\ &quot;Kč&quot;_-;\-* #,##0.00\ &quot;Kč&quot;_-;_-* &quot;-&quot;??\ &quot;Kč&quot;_-;_-@_-"/>
    <numFmt numFmtId="43" formatCode="_-* #,##0.00_-;\-* #,##0.00_-;_-* &quot;-&quot;??_-;_-@_-"/>
    <numFmt numFmtId="164" formatCode="_ &quot;kr&quot;\ * #,##0.00_ ;_ &quot;kr&quot;\ * \-#,##0.00_ ;_ &quot;kr&quot;\ * &quot;-&quot;??_ ;_ @_ "/>
    <numFmt numFmtId="165" formatCode="_ * #,##0.00_ ;_ * \-#,##0.00_ ;_ * &quot;-&quot;??_ ;_ @_ "/>
    <numFmt numFmtId="166" formatCode="_ * #,##0_ ;_ * \-#,##0_ ;_ * &quot;-&quot;??_ ;_ @_ "/>
    <numFmt numFmtId="167" formatCode="_ * #,##0.0_ ;_ * \-#,##0.0_ ;_ * &quot;-&quot;??_ ;_ @_ "/>
    <numFmt numFmtId="168" formatCode="_-* #,##0.0\ _K_č_-;\-* #,##0.0\ _K_č_-;_-* &quot;-&quot;?\ _K_č_-;_-@_-"/>
    <numFmt numFmtId="169" formatCode="#,##0\ &quot;Kč&quot;"/>
    <numFmt numFmtId="170" formatCode="#,##0.00_ ;\-#,##0.00\ "/>
    <numFmt numFmtId="171" formatCode="#,##0&quot; MD&quot;"/>
    <numFmt numFmtId="172" formatCode="#,##0.0000"/>
    <numFmt numFmtId="173" formatCode="#,##0_ ;\-#,##0\ "/>
    <numFmt numFmtId="174" formatCode="&quot;ROK &quot;#,##0"/>
    <numFmt numFmtId="175" formatCode="#,##0.000\ &quot;Kč&quot;"/>
    <numFmt numFmtId="176" formatCode="#,##0.000;\-#,##0.000"/>
    <numFmt numFmtId="177" formatCode="0.000%"/>
    <numFmt numFmtId="178" formatCode="#,##0.00\ &quot;Kč&quot;"/>
  </numFmts>
  <fonts count="95" x14ac:knownFonts="1">
    <font>
      <sz val="11"/>
      <color theme="1"/>
      <name val="Arial"/>
      <family val="2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indexed="8"/>
      <name val="Calibri"/>
      <family val="2"/>
    </font>
    <font>
      <sz val="10"/>
      <name val="Calibri"/>
      <family val="2"/>
    </font>
    <font>
      <sz val="10"/>
      <color indexed="8"/>
      <name val="Calibri"/>
      <family val="2"/>
    </font>
    <font>
      <sz val="11"/>
      <color indexed="8"/>
      <name val="Calibri"/>
      <family val="2"/>
    </font>
    <font>
      <b/>
      <sz val="10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  <charset val="238"/>
    </font>
    <font>
      <b/>
      <sz val="10"/>
      <color theme="0"/>
      <name val="Calibri"/>
      <family val="2"/>
    </font>
    <font>
      <sz val="10"/>
      <color theme="0"/>
      <name val="Calibri"/>
      <family val="2"/>
      <scheme val="minor"/>
    </font>
    <font>
      <b/>
      <sz val="10"/>
      <name val="Calibri"/>
      <family val="2"/>
      <charset val="238"/>
    </font>
    <font>
      <sz val="10"/>
      <color theme="0"/>
      <name val="Calibri"/>
      <family val="2"/>
      <charset val="238"/>
    </font>
    <font>
      <b/>
      <sz val="10"/>
      <color theme="0"/>
      <name val="Calibri"/>
      <family val="2"/>
      <charset val="238"/>
    </font>
    <font>
      <sz val="10"/>
      <color theme="1"/>
      <name val="Calibri"/>
      <family val="2"/>
      <scheme val="minor"/>
    </font>
    <font>
      <sz val="12"/>
      <name val="Arial CE"/>
      <charset val="238"/>
    </font>
    <font>
      <sz val="11"/>
      <color theme="0"/>
      <name val="Calibri"/>
      <family val="2"/>
      <scheme val="minor"/>
    </font>
    <font>
      <sz val="10"/>
      <name val="Calibri"/>
      <family val="2"/>
      <charset val="238"/>
    </font>
    <font>
      <sz val="11"/>
      <color theme="1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sz val="10"/>
      <color rgb="FF000000"/>
      <name val="Calibri"/>
      <family val="2"/>
      <charset val="238"/>
    </font>
    <font>
      <sz val="10"/>
      <color theme="1"/>
      <name val="Calibri"/>
      <family val="2"/>
    </font>
    <font>
      <sz val="10"/>
      <color rgb="FFFF0000"/>
      <name val="Calibri"/>
      <family val="2"/>
    </font>
    <font>
      <sz val="11"/>
      <name val="Arial"/>
      <family val="2"/>
      <charset val="238"/>
    </font>
    <font>
      <i/>
      <sz val="10"/>
      <color rgb="FFFF0000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b/>
      <sz val="7"/>
      <color theme="0"/>
      <name val="Calibri"/>
      <family val="2"/>
      <charset val="238"/>
    </font>
    <font>
      <sz val="11"/>
      <name val="Calibri"/>
      <family val="2"/>
      <scheme val="minor"/>
    </font>
    <font>
      <b/>
      <sz val="14"/>
      <color indexed="8"/>
      <name val="Calibri"/>
      <family val="2"/>
      <charset val="238"/>
    </font>
    <font>
      <sz val="11"/>
      <color theme="1"/>
      <name val="Calibri"/>
      <family val="2"/>
      <charset val="238"/>
    </font>
    <font>
      <sz val="11"/>
      <name val="Calibri"/>
      <family val="2"/>
      <charset val="238"/>
    </font>
    <font>
      <sz val="10"/>
      <color theme="1"/>
      <name val="Calibri"/>
      <family val="2"/>
      <charset val="238"/>
    </font>
    <font>
      <b/>
      <sz val="14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indexed="8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b/>
      <sz val="10"/>
      <color indexed="8"/>
      <name val="Calibri"/>
      <family val="2"/>
      <charset val="238"/>
    </font>
    <font>
      <b/>
      <sz val="12"/>
      <color indexed="8"/>
      <name val="Calibri"/>
      <family val="2"/>
      <scheme val="minor"/>
    </font>
    <font>
      <b/>
      <sz val="10"/>
      <color theme="1"/>
      <name val="Calibri"/>
      <family val="2"/>
    </font>
    <font>
      <b/>
      <u/>
      <sz val="10"/>
      <color theme="0"/>
      <name val="Calibri"/>
      <family val="2"/>
    </font>
    <font>
      <b/>
      <sz val="11"/>
      <color theme="1"/>
      <name val="Calibri"/>
      <family val="2"/>
      <charset val="238"/>
    </font>
    <font>
      <b/>
      <sz val="9"/>
      <color theme="1"/>
      <name val="Calibri"/>
      <family val="2"/>
      <charset val="238"/>
    </font>
    <font>
      <sz val="9"/>
      <color theme="1"/>
      <name val="Calibri"/>
      <family val="2"/>
      <charset val="238"/>
    </font>
    <font>
      <sz val="8"/>
      <name val="Arial"/>
      <family val="2"/>
      <charset val="238"/>
    </font>
    <font>
      <b/>
      <sz val="10"/>
      <color indexed="8"/>
      <name val="Calibri"/>
      <family val="2"/>
      <charset val="238"/>
      <scheme val="minor"/>
    </font>
    <font>
      <sz val="7"/>
      <color theme="1"/>
      <name val="Calibri"/>
      <family val="2"/>
      <scheme val="minor"/>
    </font>
    <font>
      <b/>
      <sz val="7"/>
      <color theme="1"/>
      <name val="Calibri"/>
      <family val="2"/>
    </font>
    <font>
      <sz val="7"/>
      <color theme="1"/>
      <name val="Calibri"/>
      <family val="2"/>
    </font>
    <font>
      <sz val="7"/>
      <color theme="0"/>
      <name val="Calibri"/>
      <family val="2"/>
      <scheme val="minor"/>
    </font>
    <font>
      <sz val="7"/>
      <name val="Calibri"/>
      <family val="2"/>
      <scheme val="minor"/>
    </font>
    <font>
      <b/>
      <i/>
      <sz val="7"/>
      <color theme="1"/>
      <name val="Calibri"/>
      <family val="2"/>
      <scheme val="minor"/>
    </font>
    <font>
      <sz val="8"/>
      <name val="Calibri"/>
      <family val="2"/>
    </font>
    <font>
      <sz val="8"/>
      <color indexed="8"/>
      <name val="Calibri"/>
      <family val="2"/>
    </font>
    <font>
      <b/>
      <i/>
      <sz val="10"/>
      <color theme="1"/>
      <name val="Calibri"/>
      <family val="2"/>
      <charset val="238"/>
      <scheme val="minor"/>
    </font>
    <font>
      <sz val="7"/>
      <color theme="1"/>
      <name val="Calibri"/>
      <family val="2"/>
      <charset val="238"/>
      <scheme val="minor"/>
    </font>
    <font>
      <sz val="7"/>
      <color theme="1"/>
      <name val="Calibri"/>
      <family val="2"/>
      <charset val="238"/>
    </font>
    <font>
      <sz val="7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9"/>
      <color indexed="8"/>
      <name val="Calibri"/>
      <family val="2"/>
    </font>
    <font>
      <sz val="10"/>
      <color indexed="8"/>
      <name val="Calibri"/>
      <family val="2"/>
      <charset val="238"/>
      <scheme val="minor"/>
    </font>
    <font>
      <sz val="8"/>
      <color indexed="8"/>
      <name val="Calibri"/>
      <family val="2"/>
      <charset val="238"/>
    </font>
    <font>
      <b/>
      <sz val="9"/>
      <color theme="0"/>
      <name val="Calibri"/>
      <family val="2"/>
    </font>
    <font>
      <b/>
      <sz val="8"/>
      <color rgb="FF000000"/>
      <name val="Calibri"/>
      <family val="2"/>
      <charset val="238"/>
    </font>
    <font>
      <b/>
      <sz val="10"/>
      <color rgb="FF000000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  <font>
      <b/>
      <sz val="7"/>
      <color theme="1"/>
      <name val="Calibri"/>
      <family val="2"/>
      <charset val="238"/>
    </font>
    <font>
      <b/>
      <u/>
      <sz val="12"/>
      <color indexed="8"/>
      <name val="Calibri"/>
      <family val="2"/>
    </font>
    <font>
      <u/>
      <sz val="10"/>
      <name val="Calibri"/>
      <family val="2"/>
    </font>
    <font>
      <b/>
      <sz val="10"/>
      <color rgb="FF000000"/>
      <name val="Calibri"/>
      <family val="2"/>
      <charset val="238"/>
    </font>
    <font>
      <b/>
      <sz val="10"/>
      <color rgb="FFFF0000"/>
      <name val="Calibri"/>
      <family val="2"/>
      <scheme val="minor"/>
    </font>
    <font>
      <b/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1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9"/>
      <color rgb="FF000000"/>
      <name val="Arial"/>
      <family val="2"/>
      <charset val="238"/>
    </font>
    <font>
      <sz val="9"/>
      <color rgb="FF000000"/>
      <name val="Times New Roman"/>
      <family val="1"/>
      <charset val="238"/>
    </font>
    <font>
      <b/>
      <sz val="10"/>
      <color rgb="FF00B05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9"/>
      <color theme="0"/>
      <name val="Calibri"/>
      <family val="2"/>
      <charset val="238"/>
    </font>
    <font>
      <b/>
      <sz val="8"/>
      <color theme="0"/>
      <name val="Calibri"/>
      <family val="2"/>
      <charset val="238"/>
    </font>
    <font>
      <i/>
      <sz val="10"/>
      <name val="Arial"/>
      <family val="2"/>
      <charset val="238"/>
    </font>
  </fonts>
  <fills count="2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66CC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996633"/>
        <bgColor indexed="64"/>
      </patternFill>
    </fill>
  </fills>
  <borders count="36">
    <border>
      <left/>
      <right/>
      <top/>
      <bottom/>
      <diagonal/>
    </border>
    <border>
      <left/>
      <right/>
      <top style="medium">
        <color theme="2" tint="-0.499984740745262"/>
      </top>
      <bottom style="medium">
        <color theme="2" tint="-0.499984740745262"/>
      </bottom>
      <diagonal/>
    </border>
    <border>
      <left/>
      <right/>
      <top style="double">
        <color theme="2" tint="-0.499984740745262"/>
      </top>
      <bottom style="double">
        <color theme="2" tint="-0.499984740745262"/>
      </bottom>
      <diagonal/>
    </border>
    <border>
      <left/>
      <right/>
      <top style="medium">
        <color theme="2" tint="-0.499984740745262"/>
      </top>
      <bottom/>
      <diagonal/>
    </border>
    <border>
      <left/>
      <right/>
      <top/>
      <bottom style="thin">
        <color theme="2" tint="-0.499984740745262"/>
      </bottom>
      <diagonal/>
    </border>
    <border>
      <left/>
      <right/>
      <top style="thin">
        <color theme="2" tint="-0.499984740745262"/>
      </top>
      <bottom/>
      <diagonal/>
    </border>
    <border>
      <left/>
      <right/>
      <top/>
      <bottom style="thin">
        <color theme="0" tint="-0.499984740745262"/>
      </bottom>
      <diagonal/>
    </border>
    <border>
      <left/>
      <right/>
      <top/>
      <bottom style="thin">
        <color theme="0" tint="-0.249977111117893"/>
      </bottom>
      <diagonal/>
    </border>
    <border>
      <left/>
      <right/>
      <top style="double">
        <color theme="2" tint="-0.499984740745262"/>
      </top>
      <bottom/>
      <diagonal/>
    </border>
    <border>
      <left/>
      <right/>
      <top/>
      <bottom style="double">
        <color theme="2" tint="-0.499984740745262"/>
      </bottom>
      <diagonal/>
    </border>
    <border>
      <left/>
      <right/>
      <top style="double">
        <color theme="0" tint="-0.499984740745262"/>
      </top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theme="0" tint="-0.499984740745262"/>
      </top>
      <bottom/>
      <diagonal/>
    </border>
    <border>
      <left/>
      <right/>
      <top/>
      <bottom style="medium">
        <color theme="2" tint="-0.499984740745262"/>
      </bottom>
      <diagonal/>
    </border>
    <border>
      <left/>
      <right/>
      <top/>
      <bottom style="double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2" tint="-0.499984740745262"/>
      </top>
      <bottom style="thin">
        <color theme="2" tint="-0.499984740745262"/>
      </bottom>
      <diagonal/>
    </border>
    <border>
      <left/>
      <right/>
      <top style="medium">
        <color theme="2" tint="-0.499984740745262"/>
      </top>
      <bottom style="double">
        <color theme="2" tint="-0.499984740745262"/>
      </bottom>
      <diagonal/>
    </border>
    <border>
      <left/>
      <right/>
      <top style="thin">
        <color theme="0" tint="-0.499984740745262"/>
      </top>
      <bottom style="double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 style="double">
        <color theme="2" tint="-0.499984740745262"/>
      </bottom>
      <diagonal/>
    </border>
    <border>
      <left/>
      <right/>
      <top style="thin">
        <color theme="2" tint="-0.499984740745262"/>
      </top>
      <bottom style="double">
        <color theme="2" tint="-0.499984740745262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/>
      <right/>
      <top/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28">
    <xf numFmtId="0" fontId="0" fillId="0" borderId="0"/>
    <xf numFmtId="0" fontId="4" fillId="0" borderId="0"/>
    <xf numFmtId="164" fontId="8" fillId="0" borderId="0" applyFont="0" applyFill="0" applyBorder="0" applyAlignment="0">
      <alignment horizontal="right"/>
      <protection locked="0"/>
    </xf>
    <xf numFmtId="0" fontId="4" fillId="0" borderId="0"/>
    <xf numFmtId="165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8" fillId="0" borderId="0"/>
    <xf numFmtId="0" fontId="18" fillId="0" borderId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43" fontId="21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2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1" fillId="0" borderId="0"/>
  </cellStyleXfs>
  <cellXfs count="735">
    <xf numFmtId="0" fontId="0" fillId="0" borderId="0" xfId="0"/>
    <xf numFmtId="0" fontId="0" fillId="4" borderId="0" xfId="0" applyFill="1"/>
    <xf numFmtId="0" fontId="16" fillId="6" borderId="1" xfId="1" applyFont="1" applyFill="1" applyBorder="1" applyAlignment="1">
      <alignment vertical="center"/>
    </xf>
    <xf numFmtId="0" fontId="16" fillId="7" borderId="5" xfId="1" applyFont="1" applyFill="1" applyBorder="1" applyAlignment="1">
      <alignment horizontal="left" vertical="center"/>
    </xf>
    <xf numFmtId="0" fontId="16" fillId="7" borderId="5" xfId="1" applyFont="1" applyFill="1" applyBorder="1" applyAlignment="1">
      <alignment horizontal="right" vertical="center"/>
    </xf>
    <xf numFmtId="0" fontId="14" fillId="8" borderId="0" xfId="1" applyFont="1" applyFill="1" applyAlignment="1">
      <alignment horizontal="left" vertical="center"/>
    </xf>
    <xf numFmtId="0" fontId="14" fillId="8" borderId="0" xfId="1" applyFont="1" applyFill="1" applyAlignment="1">
      <alignment horizontal="right" vertical="center"/>
    </xf>
    <xf numFmtId="0" fontId="27" fillId="4" borderId="0" xfId="0" applyFont="1" applyFill="1"/>
    <xf numFmtId="3" fontId="11" fillId="9" borderId="0" xfId="1" applyNumberFormat="1" applyFont="1" applyFill="1" applyAlignment="1">
      <alignment vertical="center"/>
    </xf>
    <xf numFmtId="3" fontId="11" fillId="4" borderId="0" xfId="1" applyNumberFormat="1" applyFont="1" applyFill="1" applyAlignment="1">
      <alignment vertical="center"/>
    </xf>
    <xf numFmtId="0" fontId="16" fillId="7" borderId="5" xfId="1" applyFont="1" applyFill="1" applyBorder="1" applyAlignment="1">
      <alignment vertical="center"/>
    </xf>
    <xf numFmtId="3" fontId="11" fillId="4" borderId="4" xfId="1" applyNumberFormat="1" applyFont="1" applyFill="1" applyBorder="1" applyAlignment="1">
      <alignment vertical="center"/>
    </xf>
    <xf numFmtId="3" fontId="11" fillId="4" borderId="10" xfId="1" applyNumberFormat="1" applyFont="1" applyFill="1" applyBorder="1" applyAlignment="1">
      <alignment vertical="center"/>
    </xf>
    <xf numFmtId="49" fontId="7" fillId="10" borderId="0" xfId="2" applyNumberFormat="1" applyFont="1" applyFill="1" applyBorder="1" applyAlignment="1">
      <alignment horizontal="center" vertical="center"/>
      <protection locked="0"/>
    </xf>
    <xf numFmtId="0" fontId="34" fillId="4" borderId="0" xfId="0" applyFont="1" applyFill="1"/>
    <xf numFmtId="0" fontId="16" fillId="6" borderId="1" xfId="1" applyFont="1" applyFill="1" applyBorder="1" applyAlignment="1">
      <alignment horizontal="center" vertical="center"/>
    </xf>
    <xf numFmtId="0" fontId="15" fillId="6" borderId="1" xfId="1" applyFont="1" applyFill="1" applyBorder="1" applyAlignment="1">
      <alignment vertical="center"/>
    </xf>
    <xf numFmtId="0" fontId="16" fillId="6" borderId="1" xfId="1" applyFont="1" applyFill="1" applyBorder="1" applyAlignment="1">
      <alignment horizontal="right" vertical="center"/>
    </xf>
    <xf numFmtId="0" fontId="20" fillId="9" borderId="0" xfId="1" applyFont="1" applyFill="1" applyAlignment="1">
      <alignment horizontal="left" vertical="center" wrapText="1"/>
    </xf>
    <xf numFmtId="3" fontId="11" fillId="9" borderId="0" xfId="1" applyNumberFormat="1" applyFont="1" applyFill="1" applyAlignment="1">
      <alignment horizontal="left" vertical="center" wrapText="1"/>
    </xf>
    <xf numFmtId="3" fontId="20" fillId="9" borderId="0" xfId="4" applyNumberFormat="1" applyFont="1" applyFill="1" applyBorder="1" applyAlignment="1" applyProtection="1">
      <alignment horizontal="right" vertical="center"/>
      <protection locked="0"/>
    </xf>
    <xf numFmtId="0" fontId="35" fillId="4" borderId="0" xfId="0" applyFont="1" applyFill="1"/>
    <xf numFmtId="0" fontId="16" fillId="7" borderId="5" xfId="1" applyFont="1" applyFill="1" applyBorder="1" applyAlignment="1">
      <alignment horizontal="center" vertical="center"/>
    </xf>
    <xf numFmtId="0" fontId="34" fillId="4" borderId="0" xfId="0" applyFont="1" applyFill="1" applyAlignment="1">
      <alignment vertical="center"/>
    </xf>
    <xf numFmtId="37" fontId="11" fillId="4" borderId="0" xfId="2" applyNumberFormat="1" applyFont="1" applyFill="1" applyBorder="1" applyAlignment="1">
      <alignment horizontal="left" vertical="center"/>
      <protection locked="0"/>
    </xf>
    <xf numFmtId="37" fontId="11" fillId="4" borderId="0" xfId="2" applyNumberFormat="1" applyFont="1" applyFill="1" applyBorder="1" applyAlignment="1">
      <alignment vertical="center"/>
      <protection locked="0"/>
    </xf>
    <xf numFmtId="0" fontId="15" fillId="7" borderId="3" xfId="1" applyFont="1" applyFill="1" applyBorder="1" applyAlignment="1">
      <alignment vertical="center"/>
    </xf>
    <xf numFmtId="37" fontId="16" fillId="7" borderId="3" xfId="1" applyNumberFormat="1" applyFont="1" applyFill="1" applyBorder="1" applyAlignment="1">
      <alignment horizontal="left" vertical="center"/>
    </xf>
    <xf numFmtId="3" fontId="11" fillId="7" borderId="0" xfId="2" applyNumberFormat="1" applyFont="1" applyFill="1" applyBorder="1" applyAlignment="1">
      <alignment horizontal="right" vertical="center"/>
      <protection locked="0"/>
    </xf>
    <xf numFmtId="37" fontId="16" fillId="7" borderId="0" xfId="1" applyNumberFormat="1" applyFont="1" applyFill="1" applyAlignment="1">
      <alignment vertical="center"/>
    </xf>
    <xf numFmtId="0" fontId="15" fillId="7" borderId="0" xfId="1" applyFont="1" applyFill="1" applyAlignment="1">
      <alignment vertical="center"/>
    </xf>
    <xf numFmtId="37" fontId="16" fillId="7" borderId="0" xfId="1" applyNumberFormat="1" applyFont="1" applyFill="1" applyAlignment="1">
      <alignment horizontal="left" vertical="center"/>
    </xf>
    <xf numFmtId="37" fontId="11" fillId="4" borderId="0" xfId="2" applyNumberFormat="1" applyFont="1" applyFill="1" applyAlignment="1">
      <alignment horizontal="left" vertical="center"/>
      <protection locked="0"/>
    </xf>
    <xf numFmtId="1" fontId="11" fillId="4" borderId="0" xfId="1" applyNumberFormat="1" applyFont="1" applyFill="1" applyAlignment="1">
      <alignment vertical="center"/>
    </xf>
    <xf numFmtId="37" fontId="11" fillId="4" borderId="4" xfId="2" applyNumberFormat="1" applyFont="1" applyFill="1" applyBorder="1" applyAlignment="1">
      <alignment horizontal="left" vertical="center"/>
      <protection locked="0"/>
    </xf>
    <xf numFmtId="3" fontId="11" fillId="4" borderId="4" xfId="2" applyNumberFormat="1" applyFont="1" applyFill="1" applyBorder="1" applyAlignment="1">
      <alignment horizontal="right" vertical="center"/>
      <protection locked="0"/>
    </xf>
    <xf numFmtId="169" fontId="20" fillId="5" borderId="0" xfId="4" applyNumberFormat="1" applyFont="1" applyFill="1" applyBorder="1" applyAlignment="1" applyProtection="1">
      <alignment horizontal="right" vertical="center"/>
    </xf>
    <xf numFmtId="0" fontId="14" fillId="8" borderId="0" xfId="1" applyFont="1" applyFill="1" applyAlignment="1">
      <alignment vertical="center"/>
    </xf>
    <xf numFmtId="3" fontId="11" fillId="9" borderId="0" xfId="2" applyNumberFormat="1" applyFont="1" applyFill="1" applyBorder="1" applyAlignment="1">
      <alignment vertical="center"/>
      <protection locked="0"/>
    </xf>
    <xf numFmtId="3" fontId="11" fillId="4" borderId="0" xfId="1" applyNumberFormat="1" applyFont="1" applyFill="1" applyAlignment="1">
      <alignment horizontal="left" vertical="center" wrapText="1"/>
    </xf>
    <xf numFmtId="3" fontId="20" fillId="4" borderId="0" xfId="4" applyNumberFormat="1" applyFont="1" applyFill="1" applyBorder="1" applyAlignment="1" applyProtection="1">
      <alignment horizontal="right" vertical="center"/>
      <protection locked="0"/>
    </xf>
    <xf numFmtId="169" fontId="20" fillId="4" borderId="0" xfId="4" applyNumberFormat="1" applyFont="1" applyFill="1" applyBorder="1" applyAlignment="1" applyProtection="1">
      <alignment horizontal="right" vertical="center"/>
    </xf>
    <xf numFmtId="3" fontId="11" fillId="4" borderId="0" xfId="2" applyNumberFormat="1" applyFont="1" applyFill="1" applyBorder="1" applyAlignment="1">
      <alignment vertical="center"/>
      <protection locked="0"/>
    </xf>
    <xf numFmtId="3" fontId="11" fillId="4" borderId="6" xfId="2" applyNumberFormat="1" applyFont="1" applyFill="1" applyBorder="1" applyAlignment="1">
      <alignment horizontal="right" vertical="center"/>
      <protection locked="0"/>
    </xf>
    <xf numFmtId="0" fontId="20" fillId="4" borderId="0" xfId="1" applyFont="1" applyFill="1" applyAlignment="1">
      <alignment horizontal="left" vertical="center" wrapText="1"/>
    </xf>
    <xf numFmtId="3" fontId="11" fillId="9" borderId="17" xfId="1" applyNumberFormat="1" applyFont="1" applyFill="1" applyBorder="1" applyAlignment="1">
      <alignment horizontal="left" vertical="center" wrapText="1"/>
    </xf>
    <xf numFmtId="3" fontId="11" fillId="9" borderId="17" xfId="1" applyNumberFormat="1" applyFont="1" applyFill="1" applyBorder="1" applyAlignment="1">
      <alignment vertical="center"/>
    </xf>
    <xf numFmtId="169" fontId="20" fillId="5" borderId="17" xfId="4" applyNumberFormat="1" applyFont="1" applyFill="1" applyBorder="1" applyAlignment="1" applyProtection="1">
      <alignment horizontal="right" vertical="center"/>
    </xf>
    <xf numFmtId="3" fontId="20" fillId="9" borderId="17" xfId="4" applyNumberFormat="1" applyFont="1" applyFill="1" applyBorder="1" applyAlignment="1" applyProtection="1">
      <alignment horizontal="right" vertical="center"/>
      <protection locked="0"/>
    </xf>
    <xf numFmtId="3" fontId="11" fillId="9" borderId="17" xfId="2" applyNumberFormat="1" applyFont="1" applyFill="1" applyBorder="1" applyAlignment="1">
      <alignment vertical="center"/>
      <protection locked="0"/>
    </xf>
    <xf numFmtId="0" fontId="20" fillId="9" borderId="17" xfId="1" applyFont="1" applyFill="1" applyBorder="1" applyAlignment="1">
      <alignment horizontal="left" vertical="center" wrapText="1"/>
    </xf>
    <xf numFmtId="171" fontId="40" fillId="4" borderId="0" xfId="4" applyNumberFormat="1" applyFont="1" applyFill="1" applyBorder="1" applyAlignment="1" applyProtection="1">
      <alignment horizontal="right" vertical="center"/>
    </xf>
    <xf numFmtId="0" fontId="0" fillId="4" borderId="0" xfId="0" applyFill="1" applyAlignment="1">
      <alignment vertical="center"/>
    </xf>
    <xf numFmtId="0" fontId="27" fillId="4" borderId="0" xfId="0" applyFont="1" applyFill="1" applyAlignment="1">
      <alignment vertical="center"/>
    </xf>
    <xf numFmtId="0" fontId="31" fillId="7" borderId="22" xfId="1" applyFont="1" applyFill="1" applyBorder="1" applyAlignment="1">
      <alignment horizontal="center" vertical="center" wrapText="1"/>
    </xf>
    <xf numFmtId="1" fontId="11" fillId="4" borderId="6" xfId="1" applyNumberFormat="1" applyFont="1" applyFill="1" applyBorder="1" applyAlignment="1">
      <alignment vertical="center"/>
    </xf>
    <xf numFmtId="3" fontId="11" fillId="4" borderId="10" xfId="1" applyNumberFormat="1" applyFont="1" applyFill="1" applyBorder="1" applyAlignment="1">
      <alignment horizontal="left" vertical="center" wrapText="1"/>
    </xf>
    <xf numFmtId="3" fontId="20" fillId="4" borderId="10" xfId="4" applyNumberFormat="1" applyFont="1" applyFill="1" applyBorder="1" applyAlignment="1" applyProtection="1">
      <alignment horizontal="right" vertical="center"/>
      <protection locked="0"/>
    </xf>
    <xf numFmtId="3" fontId="45" fillId="4" borderId="0" xfId="1" applyNumberFormat="1" applyFont="1" applyFill="1" applyAlignment="1">
      <alignment vertical="center"/>
    </xf>
    <xf numFmtId="3" fontId="45" fillId="4" borderId="10" xfId="1" applyNumberFormat="1" applyFont="1" applyFill="1" applyBorder="1" applyAlignment="1">
      <alignment vertical="center"/>
    </xf>
    <xf numFmtId="3" fontId="20" fillId="9" borderId="0" xfId="4" applyNumberFormat="1" applyFont="1" applyFill="1" applyBorder="1" applyAlignment="1" applyProtection="1">
      <alignment horizontal="center" vertical="center"/>
      <protection locked="0"/>
    </xf>
    <xf numFmtId="3" fontId="20" fillId="9" borderId="17" xfId="4" applyNumberFormat="1" applyFont="1" applyFill="1" applyBorder="1" applyAlignment="1" applyProtection="1">
      <alignment horizontal="center" vertical="center"/>
      <protection locked="0"/>
    </xf>
    <xf numFmtId="0" fontId="34" fillId="9" borderId="26" xfId="0" applyFont="1" applyFill="1" applyBorder="1" applyAlignment="1">
      <alignment vertical="center"/>
    </xf>
    <xf numFmtId="0" fontId="34" fillId="9" borderId="27" xfId="0" applyFont="1" applyFill="1" applyBorder="1" applyAlignment="1">
      <alignment vertical="center"/>
    </xf>
    <xf numFmtId="0" fontId="34" fillId="4" borderId="10" xfId="0" applyFont="1" applyFill="1" applyBorder="1" applyAlignment="1">
      <alignment vertical="center"/>
    </xf>
    <xf numFmtId="3" fontId="69" fillId="7" borderId="18" xfId="1" applyNumberFormat="1" applyFont="1" applyFill="1" applyBorder="1" applyAlignment="1">
      <alignment vertical="center"/>
    </xf>
    <xf numFmtId="3" fontId="69" fillId="4" borderId="17" xfId="1" applyNumberFormat="1" applyFont="1" applyFill="1" applyBorder="1" applyAlignment="1">
      <alignment vertical="center" wrapText="1"/>
    </xf>
    <xf numFmtId="3" fontId="11" fillId="4" borderId="6" xfId="1" applyNumberFormat="1" applyFont="1" applyFill="1" applyBorder="1" applyAlignment="1">
      <alignment vertical="center"/>
    </xf>
    <xf numFmtId="37" fontId="11" fillId="4" borderId="10" xfId="2" applyNumberFormat="1" applyFont="1" applyFill="1" applyBorder="1" applyAlignment="1">
      <alignment horizontal="left" vertical="center"/>
      <protection locked="0"/>
    </xf>
    <xf numFmtId="1" fontId="11" fillId="4" borderId="10" xfId="1" applyNumberFormat="1" applyFont="1" applyFill="1" applyBorder="1" applyAlignment="1">
      <alignment vertical="center"/>
    </xf>
    <xf numFmtId="3" fontId="46" fillId="4" borderId="10" xfId="1" applyNumberFormat="1" applyFont="1" applyFill="1" applyBorder="1" applyAlignment="1">
      <alignment vertical="center"/>
    </xf>
    <xf numFmtId="4" fontId="6" fillId="10" borderId="0" xfId="4" applyNumberFormat="1" applyFont="1" applyFill="1" applyBorder="1" applyAlignment="1" applyProtection="1">
      <alignment horizontal="right" vertical="center"/>
      <protection locked="0"/>
    </xf>
    <xf numFmtId="4" fontId="6" fillId="10" borderId="9" xfId="4" applyNumberFormat="1" applyFont="1" applyFill="1" applyBorder="1" applyAlignment="1" applyProtection="1">
      <alignment horizontal="right" vertical="center"/>
      <protection locked="0"/>
    </xf>
    <xf numFmtId="3" fontId="20" fillId="10" borderId="0" xfId="4" applyNumberFormat="1" applyFont="1" applyFill="1" applyBorder="1" applyAlignment="1" applyProtection="1">
      <alignment horizontal="right" vertical="center"/>
    </xf>
    <xf numFmtId="9" fontId="46" fillId="10" borderId="10" xfId="14" applyFont="1" applyFill="1" applyBorder="1" applyAlignment="1" applyProtection="1">
      <alignment horizontal="center" vertical="center"/>
      <protection locked="0"/>
    </xf>
    <xf numFmtId="3" fontId="46" fillId="10" borderId="10" xfId="2" applyNumberFormat="1" applyFont="1" applyFill="1" applyBorder="1" applyAlignment="1">
      <alignment horizontal="center" vertical="center"/>
      <protection locked="0"/>
    </xf>
    <xf numFmtId="49" fontId="46" fillId="10" borderId="17" xfId="2" applyNumberFormat="1" applyFont="1" applyFill="1" applyBorder="1" applyAlignment="1">
      <alignment horizontal="center" vertical="center"/>
      <protection locked="0"/>
    </xf>
    <xf numFmtId="49" fontId="46" fillId="10" borderId="21" xfId="2" applyNumberFormat="1" applyFont="1" applyFill="1" applyBorder="1" applyAlignment="1">
      <alignment horizontal="center" vertical="center"/>
      <protection locked="0"/>
    </xf>
    <xf numFmtId="169" fontId="20" fillId="10" borderId="0" xfId="4" applyNumberFormat="1" applyFont="1" applyFill="1" applyBorder="1" applyAlignment="1" applyProtection="1">
      <alignment horizontal="right" vertical="center"/>
      <protection locked="0"/>
    </xf>
    <xf numFmtId="1" fontId="20" fillId="10" borderId="17" xfId="4" applyNumberFormat="1" applyFont="1" applyFill="1" applyBorder="1" applyAlignment="1" applyProtection="1">
      <alignment horizontal="right" vertical="center"/>
      <protection locked="0"/>
    </xf>
    <xf numFmtId="3" fontId="24" fillId="4" borderId="10" xfId="2" applyNumberFormat="1" applyFont="1" applyFill="1" applyBorder="1" applyAlignment="1">
      <alignment vertical="center" wrapText="1"/>
      <protection locked="0"/>
    </xf>
    <xf numFmtId="169" fontId="20" fillId="10" borderId="10" xfId="4" applyNumberFormat="1" applyFont="1" applyFill="1" applyBorder="1" applyAlignment="1" applyProtection="1">
      <alignment horizontal="right" vertical="center"/>
      <protection locked="0"/>
    </xf>
    <xf numFmtId="4" fontId="14" fillId="5" borderId="0" xfId="4" applyNumberFormat="1" applyFont="1" applyFill="1" applyBorder="1" applyAlignment="1" applyProtection="1">
      <alignment horizontal="right" vertical="center"/>
    </xf>
    <xf numFmtId="4" fontId="14" fillId="5" borderId="17" xfId="4" applyNumberFormat="1" applyFont="1" applyFill="1" applyBorder="1" applyAlignment="1" applyProtection="1">
      <alignment horizontal="right" vertical="center"/>
    </xf>
    <xf numFmtId="4" fontId="20" fillId="10" borderId="0" xfId="4" applyNumberFormat="1" applyFont="1" applyFill="1" applyBorder="1" applyAlignment="1" applyProtection="1">
      <alignment horizontal="right" vertical="center"/>
      <protection locked="0"/>
    </xf>
    <xf numFmtId="0" fontId="80" fillId="0" borderId="0" xfId="0" applyFont="1" applyAlignment="1">
      <alignment horizontal="center"/>
    </xf>
    <xf numFmtId="0" fontId="0" fillId="0" borderId="0" xfId="0" applyAlignment="1">
      <alignment horizontal="center"/>
    </xf>
    <xf numFmtId="37" fontId="11" fillId="5" borderId="0" xfId="2" applyNumberFormat="1" applyFont="1" applyFill="1" applyBorder="1" applyAlignment="1">
      <alignment horizontal="left" vertical="center"/>
      <protection locked="0"/>
    </xf>
    <xf numFmtId="172" fontId="11" fillId="5" borderId="0" xfId="2" applyNumberFormat="1" applyFont="1" applyFill="1" applyBorder="1" applyAlignment="1">
      <alignment horizontal="right" vertical="center"/>
      <protection locked="0"/>
    </xf>
    <xf numFmtId="37" fontId="11" fillId="5" borderId="6" xfId="2" applyNumberFormat="1" applyFont="1" applyFill="1" applyBorder="1" applyAlignment="1">
      <alignment horizontal="left" vertical="center"/>
      <protection locked="0"/>
    </xf>
    <xf numFmtId="172" fontId="11" fillId="5" borderId="6" xfId="2" applyNumberFormat="1" applyFont="1" applyFill="1" applyBorder="1" applyAlignment="1">
      <alignment horizontal="right" vertical="center"/>
      <protection locked="0"/>
    </xf>
    <xf numFmtId="172" fontId="11" fillId="10" borderId="0" xfId="2" applyNumberFormat="1" applyFont="1" applyFill="1" applyBorder="1" applyAlignment="1">
      <alignment horizontal="right" vertical="center"/>
      <protection locked="0"/>
    </xf>
    <xf numFmtId="37" fontId="46" fillId="10" borderId="10" xfId="2" applyNumberFormat="1" applyFont="1" applyFill="1" applyBorder="1" applyAlignment="1">
      <alignment horizontal="center" vertical="center" wrapText="1"/>
      <protection locked="0"/>
    </xf>
    <xf numFmtId="0" fontId="0" fillId="0" borderId="0" xfId="0" applyAlignment="1">
      <alignment vertical="center"/>
    </xf>
    <xf numFmtId="37" fontId="11" fillId="7" borderId="18" xfId="2" applyNumberFormat="1" applyFont="1" applyFill="1" applyBorder="1" applyAlignment="1">
      <alignment vertical="center" wrapText="1"/>
      <protection locked="0"/>
    </xf>
    <xf numFmtId="0" fontId="31" fillId="7" borderId="18" xfId="1" applyFont="1" applyFill="1" applyBorder="1" applyAlignment="1">
      <alignment horizontal="center" vertical="center" wrapText="1"/>
    </xf>
    <xf numFmtId="4" fontId="6" fillId="5" borderId="15" xfId="5" applyNumberFormat="1" applyFont="1" applyFill="1" applyBorder="1" applyAlignment="1" applyProtection="1">
      <alignment horizontal="right" vertical="center"/>
    </xf>
    <xf numFmtId="4" fontId="6" fillId="5" borderId="17" xfId="5" applyNumberFormat="1" applyFont="1" applyFill="1" applyBorder="1" applyAlignment="1" applyProtection="1">
      <alignment horizontal="right" vertical="center"/>
    </xf>
    <xf numFmtId="173" fontId="6" fillId="5" borderId="17" xfId="4" applyNumberFormat="1" applyFont="1" applyFill="1" applyBorder="1" applyAlignment="1" applyProtection="1">
      <alignment horizontal="right" vertical="center"/>
    </xf>
    <xf numFmtId="3" fontId="6" fillId="5" borderId="0" xfId="4" applyNumberFormat="1" applyFont="1" applyFill="1" applyBorder="1" applyAlignment="1" applyProtection="1">
      <alignment horizontal="right" vertical="center"/>
    </xf>
    <xf numFmtId="173" fontId="6" fillId="5" borderId="0" xfId="4" applyNumberFormat="1" applyFont="1" applyFill="1" applyBorder="1" applyAlignment="1" applyProtection="1">
      <alignment horizontal="right" vertical="center"/>
    </xf>
    <xf numFmtId="0" fontId="87" fillId="4" borderId="11" xfId="0" applyFont="1" applyFill="1" applyBorder="1" applyAlignment="1">
      <alignment horizontal="left" vertical="center" wrapText="1"/>
    </xf>
    <xf numFmtId="0" fontId="87" fillId="16" borderId="11" xfId="0" applyFont="1" applyFill="1" applyBorder="1" applyAlignment="1">
      <alignment horizontal="justify" vertical="center" wrapText="1"/>
    </xf>
    <xf numFmtId="0" fontId="87" fillId="17" borderId="11" xfId="0" applyFont="1" applyFill="1" applyBorder="1" applyAlignment="1">
      <alignment vertical="center" wrapText="1"/>
    </xf>
    <xf numFmtId="0" fontId="87" fillId="16" borderId="33" xfId="0" applyFont="1" applyFill="1" applyBorder="1" applyAlignment="1">
      <alignment horizontal="justify" vertical="center" wrapText="1"/>
    </xf>
    <xf numFmtId="0" fontId="86" fillId="16" borderId="34" xfId="0" applyFont="1" applyFill="1" applyBorder="1" applyAlignment="1">
      <alignment horizontal="justify" vertical="center" wrapText="1"/>
    </xf>
    <xf numFmtId="0" fontId="87" fillId="16" borderId="34" xfId="0" applyFont="1" applyFill="1" applyBorder="1" applyAlignment="1">
      <alignment horizontal="justify" vertical="center" wrapText="1"/>
    </xf>
    <xf numFmtId="0" fontId="86" fillId="18" borderId="11" xfId="0" applyFont="1" applyFill="1" applyBorder="1" applyAlignment="1">
      <alignment horizontal="center" vertical="center" wrapText="1"/>
    </xf>
    <xf numFmtId="0" fontId="34" fillId="4" borderId="0" xfId="0" applyFont="1" applyFill="1" applyAlignment="1">
      <alignment vertical="center" wrapText="1"/>
    </xf>
    <xf numFmtId="3" fontId="33" fillId="4" borderId="0" xfId="1" applyNumberFormat="1" applyFont="1" applyFill="1" applyAlignment="1">
      <alignment vertical="center"/>
    </xf>
    <xf numFmtId="171" fontId="41" fillId="12" borderId="15" xfId="4" applyNumberFormat="1" applyFont="1" applyFill="1" applyBorder="1" applyAlignment="1" applyProtection="1">
      <alignment horizontal="right" vertical="center"/>
    </xf>
    <xf numFmtId="1" fontId="11" fillId="4" borderId="10" xfId="1" applyNumberFormat="1" applyFont="1" applyFill="1" applyBorder="1" applyAlignment="1">
      <alignment horizontal="left" vertical="center" wrapText="1"/>
    </xf>
    <xf numFmtId="37" fontId="70" fillId="4" borderId="21" xfId="2" applyNumberFormat="1" applyFont="1" applyFill="1" applyBorder="1" applyAlignment="1">
      <alignment horizontal="left" vertical="center" wrapText="1"/>
      <protection locked="0"/>
    </xf>
    <xf numFmtId="0" fontId="36" fillId="4" borderId="0" xfId="0" applyFont="1" applyFill="1" applyProtection="1"/>
    <xf numFmtId="0" fontId="34" fillId="4" borderId="0" xfId="0" applyFont="1" applyFill="1" applyProtection="1"/>
    <xf numFmtId="0" fontId="36" fillId="12" borderId="0" xfId="0" applyFont="1" applyFill="1" applyProtection="1"/>
    <xf numFmtId="0" fontId="34" fillId="0" borderId="0" xfId="0" applyFont="1" applyProtection="1"/>
    <xf numFmtId="0" fontId="52" fillId="4" borderId="0" xfId="0" applyFont="1" applyFill="1" applyAlignment="1" applyProtection="1">
      <alignment horizontal="left" wrapText="1"/>
    </xf>
    <xf numFmtId="0" fontId="51" fillId="4" borderId="0" xfId="0" applyFont="1" applyFill="1" applyProtection="1"/>
    <xf numFmtId="0" fontId="52" fillId="14" borderId="0" xfId="0" applyFont="1" applyFill="1" applyAlignment="1" applyProtection="1">
      <alignment horizontal="center"/>
    </xf>
    <xf numFmtId="0" fontId="52" fillId="13" borderId="0" xfId="0" applyFont="1" applyFill="1" applyAlignment="1" applyProtection="1">
      <alignment horizontal="center"/>
    </xf>
    <xf numFmtId="0" fontId="52" fillId="14" borderId="0" xfId="0" applyFont="1" applyFill="1" applyProtection="1"/>
    <xf numFmtId="0" fontId="52" fillId="13" borderId="0" xfId="0" applyFont="1" applyFill="1" applyProtection="1"/>
    <xf numFmtId="0" fontId="20" fillId="4" borderId="0" xfId="0" applyFont="1" applyFill="1" applyProtection="1"/>
    <xf numFmtId="0" fontId="35" fillId="4" borderId="0" xfId="0" applyFont="1" applyFill="1" applyProtection="1"/>
    <xf numFmtId="0" fontId="36" fillId="4" borderId="0" xfId="0" applyFont="1" applyFill="1" applyAlignment="1" applyProtection="1">
      <alignment wrapText="1"/>
    </xf>
    <xf numFmtId="172" fontId="11" fillId="5" borderId="0" xfId="2" applyNumberFormat="1" applyFont="1" applyFill="1" applyBorder="1" applyAlignment="1" applyProtection="1">
      <alignment horizontal="right" vertical="center"/>
    </xf>
    <xf numFmtId="172" fontId="11" fillId="5" borderId="6" xfId="2" applyNumberFormat="1" applyFont="1" applyFill="1" applyBorder="1" applyAlignment="1" applyProtection="1">
      <alignment horizontal="right" vertical="center"/>
    </xf>
    <xf numFmtId="0" fontId="33" fillId="2" borderId="0" xfId="1" applyFont="1" applyFill="1" applyAlignment="1" applyProtection="1">
      <alignment vertical="center" wrapText="1"/>
    </xf>
    <xf numFmtId="0" fontId="34" fillId="4" borderId="0" xfId="0" applyFont="1" applyFill="1" applyAlignment="1" applyProtection="1">
      <alignment vertical="center"/>
    </xf>
    <xf numFmtId="0" fontId="36" fillId="4" borderId="0" xfId="0" applyFont="1" applyFill="1" applyAlignment="1" applyProtection="1">
      <alignment vertical="center" wrapText="1"/>
    </xf>
    <xf numFmtId="4" fontId="20" fillId="5" borderId="0" xfId="4" applyNumberFormat="1" applyFont="1" applyFill="1" applyBorder="1" applyAlignment="1" applyProtection="1">
      <alignment horizontal="right" vertical="center"/>
    </xf>
    <xf numFmtId="0" fontId="1" fillId="2" borderId="0" xfId="1" applyFont="1" applyFill="1" applyAlignment="1" applyProtection="1">
      <alignment vertical="center"/>
    </xf>
    <xf numFmtId="0" fontId="55" fillId="2" borderId="0" xfId="1" applyFont="1" applyFill="1" applyProtection="1"/>
    <xf numFmtId="0" fontId="43" fillId="2" borderId="0" xfId="1" applyFont="1" applyFill="1" applyProtection="1"/>
    <xf numFmtId="0" fontId="55" fillId="12" borderId="0" xfId="1" applyFont="1" applyFill="1" applyProtection="1"/>
    <xf numFmtId="0" fontId="55" fillId="12" borderId="0" xfId="1" applyFont="1" applyFill="1" applyAlignment="1" applyProtection="1">
      <alignment horizontal="center"/>
    </xf>
    <xf numFmtId="0" fontId="43" fillId="12" borderId="0" xfId="1" applyFont="1" applyFill="1" applyProtection="1"/>
    <xf numFmtId="0" fontId="55" fillId="2" borderId="31" xfId="1" applyFont="1" applyFill="1" applyBorder="1" applyProtection="1"/>
    <xf numFmtId="0" fontId="55" fillId="2" borderId="12" xfId="1" applyFont="1" applyFill="1" applyBorder="1" applyAlignment="1" applyProtection="1">
      <alignment horizontal="center" vertical="center"/>
    </xf>
    <xf numFmtId="9" fontId="55" fillId="2" borderId="13" xfId="1" applyNumberFormat="1" applyFont="1" applyFill="1" applyBorder="1" applyAlignment="1" applyProtection="1">
      <alignment horizontal="center" vertical="center"/>
    </xf>
    <xf numFmtId="0" fontId="55" fillId="2" borderId="11" xfId="1" applyFont="1" applyFill="1" applyBorder="1" applyAlignment="1" applyProtection="1">
      <alignment horizontal="center" wrapText="1"/>
    </xf>
    <xf numFmtId="0" fontId="74" fillId="2" borderId="0" xfId="1" applyFont="1" applyFill="1" applyAlignment="1" applyProtection="1">
      <alignment horizontal="center"/>
    </xf>
    <xf numFmtId="0" fontId="56" fillId="14" borderId="0" xfId="0" applyFont="1" applyFill="1" applyAlignment="1" applyProtection="1">
      <alignment horizontal="center"/>
    </xf>
    <xf numFmtId="0" fontId="56" fillId="13" borderId="0" xfId="0" applyFont="1" applyFill="1" applyAlignment="1" applyProtection="1">
      <alignment horizontal="center"/>
    </xf>
    <xf numFmtId="37" fontId="56" fillId="8" borderId="0" xfId="0" applyNumberFormat="1" applyFont="1" applyFill="1" applyAlignment="1" applyProtection="1">
      <alignment horizontal="center"/>
    </xf>
    <xf numFmtId="169" fontId="57" fillId="14" borderId="0" xfId="0" applyNumberFormat="1" applyFont="1" applyFill="1" applyProtection="1"/>
    <xf numFmtId="169" fontId="57" fillId="13" borderId="0" xfId="0" applyNumberFormat="1" applyFont="1" applyFill="1" applyProtection="1"/>
    <xf numFmtId="169" fontId="57" fillId="8" borderId="0" xfId="0" applyNumberFormat="1" applyFont="1" applyFill="1" applyProtection="1"/>
    <xf numFmtId="169" fontId="57" fillId="14" borderId="27" xfId="0" applyNumberFormat="1" applyFont="1" applyFill="1" applyBorder="1" applyProtection="1"/>
    <xf numFmtId="169" fontId="57" fillId="13" borderId="27" xfId="0" applyNumberFormat="1" applyFont="1" applyFill="1" applyBorder="1" applyProtection="1"/>
    <xf numFmtId="169" fontId="57" fillId="8" borderId="27" xfId="0" applyNumberFormat="1" applyFont="1" applyFill="1" applyBorder="1" applyProtection="1"/>
    <xf numFmtId="0" fontId="55" fillId="15" borderId="0" xfId="1" applyFont="1" applyFill="1" applyProtection="1"/>
    <xf numFmtId="0" fontId="55" fillId="4" borderId="0" xfId="1" applyFont="1" applyFill="1" applyProtection="1"/>
    <xf numFmtId="169" fontId="65" fillId="14" borderId="0" xfId="0" applyNumberFormat="1" applyFont="1" applyFill="1" applyProtection="1"/>
    <xf numFmtId="169" fontId="65" fillId="13" borderId="0" xfId="0" applyNumberFormat="1" applyFont="1" applyFill="1" applyProtection="1"/>
    <xf numFmtId="169" fontId="65" fillId="8" borderId="0" xfId="0" applyNumberFormat="1" applyFont="1" applyFill="1" applyProtection="1"/>
    <xf numFmtId="169" fontId="65" fillId="14" borderId="27" xfId="0" applyNumberFormat="1" applyFont="1" applyFill="1" applyBorder="1" applyProtection="1"/>
    <xf numFmtId="169" fontId="65" fillId="13" borderId="27" xfId="0" applyNumberFormat="1" applyFont="1" applyFill="1" applyBorder="1" applyProtection="1"/>
    <xf numFmtId="169" fontId="65" fillId="8" borderId="27" xfId="0" applyNumberFormat="1" applyFont="1" applyFill="1" applyBorder="1" applyProtection="1"/>
    <xf numFmtId="43" fontId="57" fillId="14" borderId="0" xfId="18" applyFont="1" applyFill="1" applyProtection="1"/>
    <xf numFmtId="43" fontId="57" fillId="13" borderId="0" xfId="18" applyFont="1" applyFill="1" applyProtection="1"/>
    <xf numFmtId="169" fontId="65" fillId="14" borderId="32" xfId="0" applyNumberFormat="1" applyFont="1" applyFill="1" applyBorder="1" applyProtection="1"/>
    <xf numFmtId="169" fontId="65" fillId="13" borderId="32" xfId="0" applyNumberFormat="1" applyFont="1" applyFill="1" applyBorder="1" applyProtection="1"/>
    <xf numFmtId="169" fontId="65" fillId="8" borderId="32" xfId="0" applyNumberFormat="1" applyFont="1" applyFill="1" applyBorder="1" applyProtection="1"/>
    <xf numFmtId="0" fontId="19" fillId="2" borderId="0" xfId="1" applyFont="1" applyFill="1" applyAlignment="1" applyProtection="1">
      <alignment vertical="center"/>
    </xf>
    <xf numFmtId="0" fontId="58" fillId="2" borderId="0" xfId="1" applyFont="1" applyFill="1" applyProtection="1"/>
    <xf numFmtId="0" fontId="59" fillId="2" borderId="0" xfId="1" applyFont="1" applyFill="1" applyProtection="1"/>
    <xf numFmtId="0" fontId="59" fillId="15" borderId="0" xfId="1" applyFont="1" applyFill="1" applyProtection="1"/>
    <xf numFmtId="0" fontId="19" fillId="4" borderId="0" xfId="1" applyFont="1" applyFill="1" applyAlignment="1" applyProtection="1">
      <alignment vertical="center"/>
    </xf>
    <xf numFmtId="0" fontId="59" fillId="4" borderId="0" xfId="1" applyFont="1" applyFill="1" applyProtection="1"/>
    <xf numFmtId="0" fontId="58" fillId="4" borderId="0" xfId="1" applyFont="1" applyFill="1" applyProtection="1"/>
    <xf numFmtId="0" fontId="43" fillId="4" borderId="0" xfId="1" applyFont="1" applyFill="1" applyProtection="1"/>
    <xf numFmtId="0" fontId="55" fillId="4" borderId="0" xfId="1" applyFont="1" applyFill="1" applyAlignment="1" applyProtection="1">
      <alignment vertical="center"/>
    </xf>
    <xf numFmtId="166" fontId="19" fillId="2" borderId="0" xfId="1" applyNumberFormat="1" applyFont="1" applyFill="1" applyAlignment="1" applyProtection="1">
      <alignment vertical="center"/>
    </xf>
    <xf numFmtId="0" fontId="66" fillId="15" borderId="0" xfId="1" applyFont="1" applyFill="1" applyProtection="1"/>
    <xf numFmtId="0" fontId="66" fillId="15" borderId="0" xfId="1" applyFont="1" applyFill="1" applyAlignment="1" applyProtection="1">
      <alignment vertical="center" wrapText="1"/>
    </xf>
    <xf numFmtId="168" fontId="1" fillId="2" borderId="0" xfId="1" applyNumberFormat="1" applyFont="1" applyFill="1" applyAlignment="1" applyProtection="1">
      <alignment vertical="center"/>
    </xf>
    <xf numFmtId="0" fontId="64" fillId="15" borderId="0" xfId="1" applyFont="1" applyFill="1" applyProtection="1"/>
    <xf numFmtId="169" fontId="65" fillId="14" borderId="21" xfId="0" applyNumberFormat="1" applyFont="1" applyFill="1" applyBorder="1" applyProtection="1"/>
    <xf numFmtId="169" fontId="65" fillId="13" borderId="21" xfId="0" applyNumberFormat="1" applyFont="1" applyFill="1" applyBorder="1" applyProtection="1"/>
    <xf numFmtId="169" fontId="65" fillId="8" borderId="21" xfId="0" applyNumberFormat="1" applyFont="1" applyFill="1" applyBorder="1" applyProtection="1"/>
    <xf numFmtId="175" fontId="57" fillId="14" borderId="0" xfId="0" applyNumberFormat="1" applyFont="1" applyFill="1" applyProtection="1"/>
    <xf numFmtId="175" fontId="57" fillId="13" borderId="0" xfId="0" applyNumberFormat="1" applyFont="1" applyFill="1" applyProtection="1"/>
    <xf numFmtId="175" fontId="57" fillId="8" borderId="0" xfId="0" applyNumberFormat="1" applyFont="1" applyFill="1" applyProtection="1"/>
    <xf numFmtId="169" fontId="57" fillId="14" borderId="25" xfId="0" applyNumberFormat="1" applyFont="1" applyFill="1" applyBorder="1" applyProtection="1"/>
    <xf numFmtId="169" fontId="57" fillId="13" borderId="25" xfId="0" applyNumberFormat="1" applyFont="1" applyFill="1" applyBorder="1" applyProtection="1"/>
    <xf numFmtId="169" fontId="57" fillId="8" borderId="25" xfId="0" applyNumberFormat="1" applyFont="1" applyFill="1" applyBorder="1" applyProtection="1"/>
    <xf numFmtId="0" fontId="55" fillId="15" borderId="0" xfId="17" applyFont="1" applyFill="1" applyProtection="1"/>
    <xf numFmtId="0" fontId="43" fillId="19" borderId="0" xfId="1" applyFont="1" applyFill="1" applyProtection="1"/>
    <xf numFmtId="0" fontId="64" fillId="15" borderId="0" xfId="17" applyFont="1" applyFill="1" applyProtection="1"/>
    <xf numFmtId="169" fontId="57" fillId="14" borderId="35" xfId="0" applyNumberFormat="1" applyFont="1" applyFill="1" applyBorder="1" applyProtection="1"/>
    <xf numFmtId="169" fontId="57" fillId="13" borderId="35" xfId="0" applyNumberFormat="1" applyFont="1" applyFill="1" applyBorder="1" applyProtection="1"/>
    <xf numFmtId="169" fontId="57" fillId="8" borderId="35" xfId="0" applyNumberFormat="1" applyFont="1" applyFill="1" applyBorder="1" applyProtection="1"/>
    <xf numFmtId="169" fontId="57" fillId="14" borderId="31" xfId="0" applyNumberFormat="1" applyFont="1" applyFill="1" applyBorder="1" applyProtection="1"/>
    <xf numFmtId="169" fontId="57" fillId="13" borderId="31" xfId="0" applyNumberFormat="1" applyFont="1" applyFill="1" applyBorder="1" applyProtection="1"/>
    <xf numFmtId="169" fontId="57" fillId="8" borderId="31" xfId="0" applyNumberFormat="1" applyFont="1" applyFill="1" applyBorder="1" applyProtection="1"/>
    <xf numFmtId="0" fontId="64" fillId="4" borderId="0" xfId="1" applyFont="1" applyFill="1" applyProtection="1"/>
    <xf numFmtId="0" fontId="55" fillId="2" borderId="28" xfId="1" applyFont="1" applyFill="1" applyBorder="1" applyAlignment="1" applyProtection="1">
      <alignment horizontal="center"/>
    </xf>
    <xf numFmtId="0" fontId="55" fillId="2" borderId="29" xfId="1" applyFont="1" applyFill="1" applyBorder="1" applyAlignment="1" applyProtection="1">
      <alignment horizontal="center"/>
    </xf>
    <xf numFmtId="0" fontId="55" fillId="2" borderId="12" xfId="1" applyFont="1" applyFill="1" applyBorder="1" applyProtection="1"/>
    <xf numFmtId="9" fontId="55" fillId="2" borderId="13" xfId="1" applyNumberFormat="1" applyFont="1" applyFill="1" applyBorder="1" applyProtection="1"/>
    <xf numFmtId="0" fontId="55" fillId="2" borderId="30" xfId="1" applyFont="1" applyFill="1" applyBorder="1" applyAlignment="1" applyProtection="1">
      <alignment horizontal="center"/>
    </xf>
    <xf numFmtId="0" fontId="55" fillId="2" borderId="12" xfId="1" applyFont="1" applyFill="1" applyBorder="1" applyAlignment="1" applyProtection="1">
      <alignment horizontal="center"/>
    </xf>
    <xf numFmtId="9" fontId="55" fillId="2" borderId="13" xfId="1" applyNumberFormat="1" applyFont="1" applyFill="1" applyBorder="1" applyAlignment="1" applyProtection="1">
      <alignment horizontal="center"/>
    </xf>
    <xf numFmtId="169" fontId="55" fillId="2" borderId="27" xfId="1" applyNumberFormat="1" applyFont="1" applyFill="1" applyBorder="1" applyProtection="1"/>
    <xf numFmtId="169" fontId="55" fillId="2" borderId="0" xfId="1" applyNumberFormat="1" applyFont="1" applyFill="1" applyProtection="1"/>
    <xf numFmtId="0" fontId="43" fillId="2" borderId="0" xfId="1" applyFont="1" applyFill="1" applyAlignment="1" applyProtection="1">
      <alignment horizontal="center"/>
    </xf>
    <xf numFmtId="0" fontId="1" fillId="2" borderId="0" xfId="1" applyFont="1" applyFill="1" applyProtection="1"/>
    <xf numFmtId="169" fontId="55" fillId="2" borderId="26" xfId="1" applyNumberFormat="1" applyFont="1" applyFill="1" applyBorder="1" applyProtection="1"/>
    <xf numFmtId="169" fontId="64" fillId="2" borderId="27" xfId="1" applyNumberFormat="1" applyFont="1" applyFill="1" applyBorder="1" applyProtection="1"/>
    <xf numFmtId="0" fontId="57" fillId="14" borderId="0" xfId="0" applyFont="1" applyFill="1" applyProtection="1"/>
    <xf numFmtId="0" fontId="57" fillId="13" borderId="0" xfId="0" applyFont="1" applyFill="1" applyProtection="1"/>
    <xf numFmtId="9" fontId="55" fillId="2" borderId="14" xfId="1" applyNumberFormat="1" applyFont="1" applyFill="1" applyBorder="1" applyProtection="1"/>
    <xf numFmtId="0" fontId="57" fillId="4" borderId="0" xfId="0" applyFont="1" applyFill="1" applyProtection="1"/>
    <xf numFmtId="0" fontId="57" fillId="15" borderId="0" xfId="0" applyFont="1" applyFill="1" applyProtection="1"/>
    <xf numFmtId="169" fontId="57" fillId="4" borderId="0" xfId="0" applyNumberFormat="1" applyFont="1" applyFill="1" applyProtection="1"/>
    <xf numFmtId="0" fontId="56" fillId="5" borderId="0" xfId="0" applyFont="1" applyFill="1" applyAlignment="1" applyProtection="1">
      <alignment horizontal="center"/>
    </xf>
    <xf numFmtId="0" fontId="57" fillId="14" borderId="0" xfId="0" applyFont="1" applyFill="1" applyAlignment="1" applyProtection="1">
      <alignment horizontal="center"/>
    </xf>
    <xf numFmtId="0" fontId="57" fillId="13" borderId="0" xfId="0" applyFont="1" applyFill="1" applyAlignment="1" applyProtection="1">
      <alignment horizontal="center"/>
    </xf>
    <xf numFmtId="178" fontId="43" fillId="2" borderId="0" xfId="1" applyNumberFormat="1" applyFont="1" applyFill="1" applyProtection="1"/>
    <xf numFmtId="169" fontId="60" fillId="8" borderId="0" xfId="1" applyNumberFormat="1" applyFont="1" applyFill="1" applyProtection="1"/>
    <xf numFmtId="169" fontId="43" fillId="2" borderId="0" xfId="1" applyNumberFormat="1" applyFont="1" applyFill="1" applyProtection="1"/>
    <xf numFmtId="0" fontId="22" fillId="2" borderId="0" xfId="1" applyFont="1" applyFill="1" applyAlignment="1" applyProtection="1">
      <alignment vertical="center"/>
    </xf>
    <xf numFmtId="0" fontId="30" fillId="12" borderId="11" xfId="1" applyFont="1" applyFill="1" applyBorder="1" applyAlignment="1" applyProtection="1">
      <alignment horizontal="center" vertical="center"/>
    </xf>
    <xf numFmtId="0" fontId="30" fillId="12" borderId="14" xfId="1" applyFont="1" applyFill="1" applyBorder="1" applyAlignment="1" applyProtection="1">
      <alignment horizontal="center" vertical="center"/>
    </xf>
    <xf numFmtId="0" fontId="17" fillId="2" borderId="11" xfId="1" applyFont="1" applyFill="1" applyBorder="1" applyAlignment="1" applyProtection="1">
      <alignment horizontal="center" vertical="center"/>
    </xf>
    <xf numFmtId="0" fontId="17" fillId="2" borderId="14" xfId="1" applyFont="1" applyFill="1" applyBorder="1" applyAlignment="1" applyProtection="1">
      <alignment horizontal="center" vertical="center"/>
    </xf>
    <xf numFmtId="0" fontId="63" fillId="4" borderId="11" xfId="1" applyFont="1" applyFill="1" applyBorder="1" applyAlignment="1" applyProtection="1">
      <alignment horizontal="center" vertical="center"/>
    </xf>
    <xf numFmtId="0" fontId="30" fillId="7" borderId="12" xfId="1" applyFont="1" applyFill="1" applyBorder="1" applyAlignment="1" applyProtection="1">
      <alignment horizontal="center" vertical="center"/>
    </xf>
    <xf numFmtId="0" fontId="30" fillId="7" borderId="13" xfId="1" applyFont="1" applyFill="1" applyBorder="1" applyAlignment="1" applyProtection="1">
      <alignment horizontal="center" vertical="center"/>
    </xf>
    <xf numFmtId="0" fontId="30" fillId="7" borderId="14" xfId="1" applyFont="1" applyFill="1" applyBorder="1" applyAlignment="1" applyProtection="1">
      <alignment horizontal="center" vertical="center"/>
    </xf>
    <xf numFmtId="0" fontId="30" fillId="7" borderId="11" xfId="1" applyFont="1" applyFill="1" applyBorder="1" applyAlignment="1" applyProtection="1">
      <alignment horizontal="center" vertical="center"/>
    </xf>
    <xf numFmtId="0" fontId="30" fillId="7" borderId="14" xfId="1" applyFont="1" applyFill="1" applyBorder="1" applyAlignment="1" applyProtection="1">
      <alignment horizontal="center" vertical="center"/>
    </xf>
    <xf numFmtId="0" fontId="30" fillId="4" borderId="11" xfId="1" applyFont="1" applyFill="1" applyBorder="1" applyAlignment="1" applyProtection="1">
      <alignment horizontal="center" vertical="center"/>
    </xf>
    <xf numFmtId="49" fontId="11" fillId="5" borderId="17" xfId="2" applyNumberFormat="1" applyFont="1" applyFill="1" applyBorder="1" applyAlignment="1" applyProtection="1">
      <alignment horizontal="center" vertical="center"/>
    </xf>
    <xf numFmtId="4" fontId="20" fillId="5" borderId="17" xfId="17" applyNumberFormat="1" applyFont="1" applyFill="1" applyBorder="1" applyAlignment="1" applyProtection="1">
      <alignment horizontal="right" vertical="center" wrapText="1"/>
    </xf>
    <xf numFmtId="49" fontId="11" fillId="5" borderId="0" xfId="2" applyNumberFormat="1" applyFont="1" applyFill="1" applyAlignment="1" applyProtection="1">
      <alignment horizontal="center" vertical="center"/>
    </xf>
    <xf numFmtId="49" fontId="11" fillId="5" borderId="0" xfId="2" applyNumberFormat="1" applyFont="1" applyFill="1" applyBorder="1" applyAlignment="1" applyProtection="1">
      <alignment horizontal="center" vertical="center"/>
    </xf>
    <xf numFmtId="49" fontId="11" fillId="5" borderId="0" xfId="2" applyNumberFormat="1" applyFont="1" applyFill="1" applyAlignment="1" applyProtection="1">
      <alignment horizontal="center" vertical="center"/>
    </xf>
    <xf numFmtId="4" fontId="7" fillId="5" borderId="17" xfId="14" applyNumberFormat="1" applyFont="1" applyFill="1" applyBorder="1" applyAlignment="1" applyProtection="1">
      <alignment horizontal="right" vertical="center"/>
    </xf>
    <xf numFmtId="4" fontId="7" fillId="5" borderId="0" xfId="14" applyNumberFormat="1" applyFont="1" applyFill="1" applyBorder="1" applyAlignment="1" applyProtection="1">
      <alignment horizontal="right" vertical="center"/>
    </xf>
    <xf numFmtId="49" fontId="11" fillId="5" borderId="6" xfId="2" applyNumberFormat="1" applyFont="1" applyFill="1" applyBorder="1" applyAlignment="1" applyProtection="1">
      <alignment horizontal="center" vertical="center"/>
    </xf>
    <xf numFmtId="49" fontId="11" fillId="5" borderId="15" xfId="2" applyNumberFormat="1" applyFont="1" applyFill="1" applyBorder="1" applyAlignment="1" applyProtection="1">
      <alignment horizontal="center" vertical="center"/>
    </xf>
    <xf numFmtId="4" fontId="6" fillId="10" borderId="0" xfId="1" applyNumberFormat="1" applyFont="1" applyFill="1" applyAlignment="1" applyProtection="1">
      <alignment horizontal="right" vertical="center"/>
      <protection locked="0"/>
    </xf>
    <xf numFmtId="4" fontId="6" fillId="10" borderId="17" xfId="1" applyNumberFormat="1" applyFont="1" applyFill="1" applyBorder="1" applyAlignment="1" applyProtection="1">
      <alignment horizontal="right" vertical="center"/>
      <protection locked="0"/>
    </xf>
    <xf numFmtId="4" fontId="6" fillId="10" borderId="0" xfId="5" applyNumberFormat="1" applyFont="1" applyFill="1" applyBorder="1" applyAlignment="1" applyProtection="1">
      <alignment horizontal="right" vertical="center"/>
      <protection locked="0"/>
    </xf>
    <xf numFmtId="173" fontId="20" fillId="10" borderId="22" xfId="4" applyNumberFormat="1" applyFont="1" applyFill="1" applyBorder="1" applyAlignment="1" applyProtection="1">
      <alignment horizontal="right" vertical="center"/>
      <protection locked="0"/>
    </xf>
    <xf numFmtId="173" fontId="20" fillId="10" borderId="17" xfId="4" applyNumberFormat="1" applyFont="1" applyFill="1" applyBorder="1" applyAlignment="1" applyProtection="1">
      <alignment horizontal="right" vertical="center"/>
      <protection locked="0"/>
    </xf>
    <xf numFmtId="3" fontId="11" fillId="10" borderId="22" xfId="1" applyNumberFormat="1" applyFont="1" applyFill="1" applyBorder="1" applyAlignment="1" applyProtection="1">
      <alignment horizontal="center" vertical="center"/>
      <protection locked="0"/>
    </xf>
    <xf numFmtId="173" fontId="6" fillId="10" borderId="6" xfId="4" applyNumberFormat="1" applyFont="1" applyFill="1" applyBorder="1" applyAlignment="1" applyProtection="1">
      <alignment horizontal="right" vertical="center"/>
      <protection locked="0"/>
    </xf>
    <xf numFmtId="173" fontId="6" fillId="10" borderId="0" xfId="4" applyNumberFormat="1" applyFont="1" applyFill="1" applyBorder="1" applyAlignment="1" applyProtection="1">
      <alignment horizontal="right" vertical="center"/>
      <protection locked="0"/>
    </xf>
    <xf numFmtId="3" fontId="11" fillId="10" borderId="0" xfId="1" applyNumberFormat="1" applyFont="1" applyFill="1" applyAlignment="1" applyProtection="1">
      <alignment horizontal="center" vertical="center"/>
      <protection locked="0"/>
    </xf>
    <xf numFmtId="170" fontId="6" fillId="10" borderId="0" xfId="4" applyNumberFormat="1" applyFont="1" applyFill="1" applyBorder="1" applyAlignment="1" applyProtection="1">
      <alignment horizontal="right" vertical="center"/>
      <protection locked="0"/>
    </xf>
    <xf numFmtId="0" fontId="22" fillId="2" borderId="0" xfId="1" applyFont="1" applyFill="1" applyAlignment="1" applyProtection="1">
      <alignment vertical="center"/>
      <protection locked="0"/>
    </xf>
    <xf numFmtId="0" fontId="5" fillId="2" borderId="0" xfId="1" applyFont="1" applyFill="1" applyAlignment="1" applyProtection="1">
      <alignment vertical="center"/>
      <protection locked="0"/>
    </xf>
    <xf numFmtId="0" fontId="1" fillId="2" borderId="0" xfId="1" applyFont="1" applyFill="1" applyAlignment="1" applyProtection="1">
      <alignment vertical="center"/>
      <protection locked="0"/>
    </xf>
    <xf numFmtId="0" fontId="7" fillId="2" borderId="0" xfId="1" applyFont="1" applyFill="1" applyAlignment="1" applyProtection="1">
      <alignment vertical="center" wrapText="1"/>
      <protection locked="0"/>
    </xf>
    <xf numFmtId="0" fontId="43" fillId="2" borderId="0" xfId="1" applyFont="1" applyFill="1" applyProtection="1">
      <protection locked="0"/>
    </xf>
    <xf numFmtId="0" fontId="22" fillId="2" borderId="0" xfId="1" applyFont="1" applyFill="1" applyProtection="1">
      <protection locked="0"/>
    </xf>
    <xf numFmtId="0" fontId="10" fillId="2" borderId="0" xfId="1" applyFont="1" applyFill="1" applyAlignment="1" applyProtection="1">
      <alignment vertical="center"/>
      <protection locked="0"/>
    </xf>
    <xf numFmtId="0" fontId="5" fillId="2" borderId="0" xfId="1" applyFont="1" applyFill="1" applyAlignment="1" applyProtection="1">
      <alignment horizontal="right" vertical="center"/>
      <protection locked="0"/>
    </xf>
    <xf numFmtId="0" fontId="6" fillId="2" borderId="0" xfId="1" applyFont="1" applyFill="1" applyAlignment="1" applyProtection="1">
      <alignment horizontal="left" vertical="center" wrapText="1"/>
      <protection locked="0"/>
    </xf>
    <xf numFmtId="0" fontId="6" fillId="2" borderId="0" xfId="1" applyFont="1" applyFill="1" applyAlignment="1" applyProtection="1">
      <alignment horizontal="left" vertical="center"/>
      <protection locked="0"/>
    </xf>
    <xf numFmtId="0" fontId="12" fillId="6" borderId="1" xfId="1" applyFont="1" applyFill="1" applyBorder="1" applyAlignment="1" applyProtection="1">
      <alignment vertical="center"/>
      <protection locked="0"/>
    </xf>
    <xf numFmtId="0" fontId="13" fillId="6" borderId="1" xfId="1" applyFont="1" applyFill="1" applyBorder="1" applyAlignment="1" applyProtection="1">
      <alignment vertical="center"/>
      <protection locked="0"/>
    </xf>
    <xf numFmtId="0" fontId="12" fillId="6" borderId="1" xfId="1" applyFont="1" applyFill="1" applyBorder="1" applyAlignment="1" applyProtection="1">
      <alignment horizontal="center" vertical="center"/>
      <protection locked="0"/>
    </xf>
    <xf numFmtId="0" fontId="12" fillId="6" borderId="1" xfId="1" applyFont="1" applyFill="1" applyBorder="1" applyAlignment="1" applyProtection="1">
      <alignment horizontal="center" vertical="center" wrapText="1"/>
      <protection locked="0"/>
    </xf>
    <xf numFmtId="0" fontId="16" fillId="7" borderId="5" xfId="1" applyFont="1" applyFill="1" applyBorder="1" applyAlignment="1" applyProtection="1">
      <alignment vertical="center"/>
      <protection locked="0"/>
    </xf>
    <xf numFmtId="0" fontId="31" fillId="7" borderId="0" xfId="1" applyFont="1" applyFill="1" applyAlignment="1" applyProtection="1">
      <alignment horizontal="center" vertical="center" wrapText="1"/>
      <protection locked="0"/>
    </xf>
    <xf numFmtId="0" fontId="16" fillId="7" borderId="5" xfId="1" applyFont="1" applyFill="1" applyBorder="1" applyAlignment="1" applyProtection="1">
      <alignment horizontal="center" vertical="center"/>
      <protection locked="0"/>
    </xf>
    <xf numFmtId="0" fontId="16" fillId="7" borderId="5" xfId="1" applyFont="1" applyFill="1" applyBorder="1" applyAlignment="1" applyProtection="1">
      <alignment vertical="center" wrapText="1"/>
      <protection locked="0"/>
    </xf>
    <xf numFmtId="0" fontId="6" fillId="4" borderId="0" xfId="1" applyFont="1" applyFill="1" applyAlignment="1" applyProtection="1">
      <alignment horizontal="left" vertical="center"/>
      <protection locked="0"/>
    </xf>
    <xf numFmtId="0" fontId="24" fillId="4" borderId="0" xfId="0" applyFont="1" applyFill="1" applyAlignment="1" applyProtection="1">
      <alignment vertical="center" wrapText="1"/>
      <protection locked="0"/>
    </xf>
    <xf numFmtId="0" fontId="6" fillId="4" borderId="0" xfId="1" applyFont="1" applyFill="1" applyAlignment="1" applyProtection="1">
      <alignment horizontal="left" vertical="center" wrapText="1"/>
      <protection locked="0"/>
    </xf>
    <xf numFmtId="0" fontId="6" fillId="4" borderId="0" xfId="1" applyFont="1" applyFill="1" applyAlignment="1" applyProtection="1">
      <alignment vertical="center" wrapText="1"/>
      <protection locked="0"/>
    </xf>
    <xf numFmtId="0" fontId="6" fillId="2" borderId="15" xfId="1" applyFont="1" applyFill="1" applyBorder="1" applyAlignment="1" applyProtection="1">
      <alignment horizontal="left" vertical="center"/>
      <protection locked="0"/>
    </xf>
    <xf numFmtId="0" fontId="6" fillId="4" borderId="15" xfId="1" applyFont="1" applyFill="1" applyBorder="1" applyAlignment="1" applyProtection="1">
      <alignment vertical="center" wrapText="1"/>
      <protection locked="0"/>
    </xf>
    <xf numFmtId="0" fontId="6" fillId="2" borderId="17" xfId="1" applyFont="1" applyFill="1" applyBorder="1" applyAlignment="1" applyProtection="1">
      <alignment horizontal="left" vertical="center"/>
      <protection locked="0"/>
    </xf>
    <xf numFmtId="0" fontId="6" fillId="4" borderId="17" xfId="1" applyFont="1" applyFill="1" applyBorder="1" applyAlignment="1" applyProtection="1">
      <alignment vertical="center" wrapText="1"/>
      <protection locked="0"/>
    </xf>
    <xf numFmtId="4" fontId="1" fillId="2" borderId="0" xfId="1" applyNumberFormat="1" applyFont="1" applyFill="1" applyAlignment="1" applyProtection="1">
      <alignment vertical="center"/>
      <protection locked="0"/>
    </xf>
    <xf numFmtId="0" fontId="16" fillId="7" borderId="22" xfId="1" applyFont="1" applyFill="1" applyBorder="1" applyAlignment="1" applyProtection="1">
      <alignment vertical="center"/>
      <protection locked="0"/>
    </xf>
    <xf numFmtId="0" fontId="31" fillId="7" borderId="22" xfId="1" applyFont="1" applyFill="1" applyBorder="1" applyAlignment="1" applyProtection="1">
      <alignment horizontal="center" vertical="center" wrapText="1"/>
      <protection locked="0"/>
    </xf>
    <xf numFmtId="0" fontId="16" fillId="7" borderId="22" xfId="1" applyFont="1" applyFill="1" applyBorder="1" applyAlignment="1" applyProtection="1">
      <alignment vertical="center" wrapText="1"/>
      <protection locked="0"/>
    </xf>
    <xf numFmtId="0" fontId="6" fillId="4" borderId="17" xfId="1" applyFont="1" applyFill="1" applyBorder="1" applyAlignment="1" applyProtection="1">
      <alignment horizontal="left" vertical="center"/>
      <protection locked="0"/>
    </xf>
    <xf numFmtId="0" fontId="16" fillId="7" borderId="5" xfId="1" applyFont="1" applyFill="1" applyBorder="1" applyAlignment="1" applyProtection="1">
      <alignment horizontal="left" vertical="center" wrapText="1"/>
      <protection locked="0"/>
    </xf>
    <xf numFmtId="0" fontId="6" fillId="2" borderId="6" xfId="1" applyFont="1" applyFill="1" applyBorder="1" applyAlignment="1" applyProtection="1">
      <alignment horizontal="left" vertical="center"/>
      <protection locked="0"/>
    </xf>
    <xf numFmtId="0" fontId="6" fillId="4" borderId="22" xfId="1" applyFont="1" applyFill="1" applyBorder="1" applyAlignment="1" applyProtection="1">
      <alignment horizontal="left" vertical="center" wrapText="1"/>
      <protection locked="0"/>
    </xf>
    <xf numFmtId="0" fontId="20" fillId="2" borderId="0" xfId="1" applyFont="1" applyFill="1" applyAlignment="1" applyProtection="1">
      <alignment vertical="center"/>
      <protection locked="0"/>
    </xf>
    <xf numFmtId="2" fontId="11" fillId="4" borderId="22" xfId="1" applyNumberFormat="1" applyFont="1" applyFill="1" applyBorder="1" applyAlignment="1" applyProtection="1">
      <alignment vertical="center"/>
      <protection locked="0"/>
    </xf>
    <xf numFmtId="37" fontId="11" fillId="4" borderId="22" xfId="2" applyNumberFormat="1" applyFont="1" applyFill="1" applyBorder="1" applyAlignment="1" applyProtection="1">
      <alignment vertical="center" wrapText="1"/>
      <protection locked="0"/>
    </xf>
    <xf numFmtId="0" fontId="6" fillId="4" borderId="17" xfId="1" applyFont="1" applyFill="1" applyBorder="1" applyAlignment="1" applyProtection="1">
      <alignment horizontal="left" vertical="center" wrapText="1"/>
      <protection locked="0"/>
    </xf>
    <xf numFmtId="0" fontId="2" fillId="2" borderId="17" xfId="1" applyFont="1" applyFill="1" applyBorder="1" applyAlignment="1" applyProtection="1">
      <alignment vertical="center"/>
      <protection locked="0"/>
    </xf>
    <xf numFmtId="2" fontId="11" fillId="4" borderId="17" xfId="1" applyNumberFormat="1" applyFont="1" applyFill="1" applyBorder="1" applyAlignment="1" applyProtection="1">
      <alignment vertical="center"/>
      <protection locked="0"/>
    </xf>
    <xf numFmtId="37" fontId="11" fillId="4" borderId="17" xfId="2" applyNumberFormat="1" applyFont="1" applyFill="1" applyBorder="1" applyAlignment="1" applyProtection="1">
      <alignment vertical="center" wrapText="1"/>
      <protection locked="0"/>
    </xf>
    <xf numFmtId="0" fontId="24" fillId="4" borderId="17" xfId="0" applyFont="1" applyFill="1" applyBorder="1" applyAlignment="1" applyProtection="1">
      <alignment vertical="center" wrapText="1"/>
      <protection locked="0"/>
    </xf>
    <xf numFmtId="3" fontId="6" fillId="4" borderId="0" xfId="1" applyNumberFormat="1" applyFont="1" applyFill="1" applyAlignment="1" applyProtection="1">
      <alignment horizontal="right" vertical="center"/>
      <protection locked="0"/>
    </xf>
    <xf numFmtId="0" fontId="16" fillId="7" borderId="5" xfId="1" applyFont="1" applyFill="1" applyBorder="1" applyAlignment="1" applyProtection="1">
      <alignment horizontal="left" vertical="center"/>
      <protection locked="0"/>
    </xf>
    <xf numFmtId="3" fontId="11" fillId="4" borderId="6" xfId="1" applyNumberFormat="1" applyFont="1" applyFill="1" applyBorder="1" applyAlignment="1" applyProtection="1">
      <alignment vertical="center"/>
      <protection locked="0"/>
    </xf>
    <xf numFmtId="2" fontId="11" fillId="4" borderId="6" xfId="1" applyNumberFormat="1" applyFont="1" applyFill="1" applyBorder="1" applyAlignment="1" applyProtection="1">
      <alignment vertical="center"/>
      <protection locked="0"/>
    </xf>
    <xf numFmtId="37" fontId="7" fillId="4" borderId="6" xfId="2" applyNumberFormat="1" applyFont="1" applyFill="1" applyBorder="1" applyAlignment="1" applyProtection="1">
      <alignment vertical="center" wrapText="1"/>
      <protection locked="0"/>
    </xf>
    <xf numFmtId="3" fontId="42" fillId="2" borderId="0" xfId="1" applyNumberFormat="1" applyFont="1" applyFill="1" applyAlignment="1" applyProtection="1">
      <alignment vertical="center"/>
      <protection locked="0"/>
    </xf>
    <xf numFmtId="0" fontId="6" fillId="2" borderId="0" xfId="1" applyFont="1" applyFill="1" applyAlignment="1" applyProtection="1">
      <alignment vertical="center"/>
      <protection locked="0"/>
    </xf>
    <xf numFmtId="2" fontId="11" fillId="4" borderId="0" xfId="1" applyNumberFormat="1" applyFont="1" applyFill="1" applyAlignment="1" applyProtection="1">
      <alignment vertical="center"/>
      <protection locked="0"/>
    </xf>
    <xf numFmtId="37" fontId="7" fillId="4" borderId="0" xfId="2" applyNumberFormat="1" applyFont="1" applyFill="1" applyBorder="1" applyAlignment="1" applyProtection="1">
      <alignment vertical="center" wrapText="1"/>
      <protection locked="0"/>
    </xf>
    <xf numFmtId="3" fontId="11" fillId="4" borderId="17" xfId="1" applyNumberFormat="1" applyFont="1" applyFill="1" applyBorder="1" applyAlignment="1" applyProtection="1">
      <alignment vertical="center"/>
      <protection locked="0"/>
    </xf>
    <xf numFmtId="0" fontId="6" fillId="2" borderId="17" xfId="1" applyFont="1" applyFill="1" applyBorder="1" applyAlignment="1" applyProtection="1">
      <alignment vertical="center"/>
      <protection locked="0"/>
    </xf>
    <xf numFmtId="37" fontId="7" fillId="4" borderId="17" xfId="2" applyNumberFormat="1" applyFont="1" applyFill="1" applyBorder="1" applyAlignment="1" applyProtection="1">
      <alignment vertical="center" wrapText="1"/>
      <protection locked="0"/>
    </xf>
    <xf numFmtId="3" fontId="11" fillId="4" borderId="0" xfId="1" applyNumberFormat="1" applyFont="1" applyFill="1" applyAlignment="1" applyProtection="1">
      <alignment vertical="center"/>
      <protection locked="0"/>
    </xf>
    <xf numFmtId="37" fontId="7" fillId="4" borderId="0" xfId="2" applyNumberFormat="1" applyFont="1" applyFill="1" applyBorder="1" applyAlignment="1" applyProtection="1">
      <alignment horizontal="left" vertical="center"/>
      <protection locked="0"/>
    </xf>
    <xf numFmtId="37" fontId="25" fillId="4" borderId="0" xfId="2" applyNumberFormat="1" applyFont="1" applyFill="1" applyBorder="1" applyAlignment="1" applyProtection="1">
      <alignment vertical="center" wrapText="1"/>
      <protection locked="0"/>
    </xf>
    <xf numFmtId="3" fontId="11" fillId="4" borderId="22" xfId="1" applyNumberFormat="1" applyFont="1" applyFill="1" applyBorder="1" applyAlignment="1" applyProtection="1">
      <alignment vertical="center" wrapText="1"/>
      <protection locked="0"/>
    </xf>
    <xf numFmtId="3" fontId="11" fillId="4" borderId="17" xfId="1" applyNumberFormat="1" applyFont="1" applyFill="1" applyBorder="1" applyAlignment="1" applyProtection="1">
      <alignment vertical="center" wrapText="1"/>
      <protection locked="0"/>
    </xf>
    <xf numFmtId="0" fontId="12" fillId="6" borderId="0" xfId="1" applyFont="1" applyFill="1" applyAlignment="1" applyProtection="1">
      <alignment vertical="center"/>
      <protection locked="0"/>
    </xf>
    <xf numFmtId="0" fontId="13" fillId="6" borderId="0" xfId="1" applyFont="1" applyFill="1" applyAlignment="1" applyProtection="1">
      <alignment vertical="center"/>
      <protection locked="0"/>
    </xf>
    <xf numFmtId="0" fontId="12" fillId="6" borderId="0" xfId="1" applyFont="1" applyFill="1" applyAlignment="1" applyProtection="1">
      <alignment horizontal="center" vertical="center"/>
      <protection locked="0"/>
    </xf>
    <xf numFmtId="0" fontId="12" fillId="6" borderId="0" xfId="1" applyFont="1" applyFill="1" applyAlignment="1" applyProtection="1">
      <alignment horizontal="center" vertical="center" wrapText="1"/>
      <protection locked="0"/>
    </xf>
    <xf numFmtId="3" fontId="6" fillId="4" borderId="0" xfId="1" applyNumberFormat="1" applyFont="1" applyFill="1" applyAlignment="1" applyProtection="1">
      <alignment vertical="center" wrapText="1"/>
      <protection locked="0"/>
    </xf>
    <xf numFmtId="3" fontId="6" fillId="2" borderId="0" xfId="1" applyNumberFormat="1" applyFont="1" applyFill="1" applyAlignment="1" applyProtection="1">
      <alignment horizontal="left" vertical="center" wrapText="1"/>
      <protection locked="0"/>
    </xf>
    <xf numFmtId="49" fontId="7" fillId="2" borderId="0" xfId="1" applyNumberFormat="1" applyFont="1" applyFill="1" applyAlignment="1" applyProtection="1">
      <alignment vertical="center" wrapText="1"/>
      <protection locked="0"/>
    </xf>
    <xf numFmtId="49" fontId="6" fillId="2" borderId="0" xfId="1" applyNumberFormat="1" applyFont="1" applyFill="1" applyAlignment="1" applyProtection="1">
      <alignment vertical="center" wrapText="1"/>
      <protection locked="0"/>
    </xf>
    <xf numFmtId="0" fontId="20" fillId="2" borderId="22" xfId="1" applyFont="1" applyFill="1" applyBorder="1" applyAlignment="1" applyProtection="1">
      <alignment vertical="center"/>
      <protection locked="0"/>
    </xf>
    <xf numFmtId="0" fontId="20" fillId="2" borderId="17" xfId="1" applyFont="1" applyFill="1" applyBorder="1" applyAlignment="1" applyProtection="1">
      <alignment vertical="center"/>
      <protection locked="0"/>
    </xf>
    <xf numFmtId="0" fontId="1" fillId="4" borderId="0" xfId="1" applyFont="1" applyFill="1" applyAlignment="1" applyProtection="1">
      <alignment vertical="center"/>
      <protection locked="0"/>
    </xf>
    <xf numFmtId="3" fontId="6" fillId="4" borderId="0" xfId="1" applyNumberFormat="1" applyFont="1" applyFill="1" applyAlignment="1" applyProtection="1">
      <alignment horizontal="left" vertical="center" wrapText="1"/>
      <protection locked="0"/>
    </xf>
    <xf numFmtId="3" fontId="6" fillId="4" borderId="0" xfId="4" applyNumberFormat="1" applyFont="1" applyFill="1" applyBorder="1" applyAlignment="1" applyProtection="1">
      <alignment horizontal="right" vertical="center"/>
      <protection locked="0"/>
    </xf>
    <xf numFmtId="49" fontId="6" fillId="4" borderId="0" xfId="1" applyNumberFormat="1" applyFont="1" applyFill="1" applyAlignment="1" applyProtection="1">
      <alignment vertical="center" wrapText="1"/>
      <protection locked="0"/>
    </xf>
    <xf numFmtId="0" fontId="43" fillId="4" borderId="0" xfId="1" applyFont="1" applyFill="1" applyProtection="1">
      <protection locked="0"/>
    </xf>
    <xf numFmtId="0" fontId="22" fillId="4" borderId="0" xfId="1" applyFont="1" applyFill="1" applyProtection="1">
      <protection locked="0"/>
    </xf>
    <xf numFmtId="0" fontId="16" fillId="7" borderId="0" xfId="1" applyFont="1" applyFill="1" applyAlignment="1" applyProtection="1">
      <alignment vertical="center"/>
      <protection locked="0"/>
    </xf>
    <xf numFmtId="0" fontId="16" fillId="7" borderId="0" xfId="1" applyFont="1" applyFill="1" applyAlignment="1" applyProtection="1">
      <alignment vertical="center" wrapText="1"/>
      <protection locked="0"/>
    </xf>
    <xf numFmtId="0" fontId="6" fillId="10" borderId="0" xfId="1" applyFont="1" applyFill="1" applyAlignment="1" applyProtection="1">
      <alignment horizontal="right" vertical="center"/>
      <protection locked="0"/>
    </xf>
    <xf numFmtId="9" fontId="6" fillId="10" borderId="17" xfId="5" applyFont="1" applyFill="1" applyBorder="1" applyAlignment="1" applyProtection="1">
      <alignment horizontal="right" vertical="center"/>
      <protection locked="0"/>
    </xf>
    <xf numFmtId="0" fontId="7" fillId="2" borderId="17" xfId="1" applyFont="1" applyFill="1" applyBorder="1" applyAlignment="1" applyProtection="1">
      <alignment vertical="center" wrapText="1"/>
      <protection locked="0"/>
    </xf>
    <xf numFmtId="3" fontId="6" fillId="10" borderId="0" xfId="1" applyNumberFormat="1" applyFont="1" applyFill="1" applyAlignment="1" applyProtection="1">
      <alignment horizontal="right" vertical="center"/>
      <protection locked="0"/>
    </xf>
    <xf numFmtId="3" fontId="6" fillId="10" borderId="0" xfId="4" applyNumberFormat="1" applyFont="1" applyFill="1" applyBorder="1" applyAlignment="1" applyProtection="1">
      <alignment horizontal="right" vertical="center"/>
      <protection locked="0"/>
    </xf>
    <xf numFmtId="10" fontId="6" fillId="10" borderId="0" xfId="14" applyNumberFormat="1" applyFont="1" applyFill="1" applyBorder="1" applyAlignment="1" applyProtection="1">
      <alignment horizontal="right" vertical="center"/>
      <protection locked="0"/>
    </xf>
    <xf numFmtId="37" fontId="7" fillId="4" borderId="17" xfId="2" applyNumberFormat="1" applyFont="1" applyFill="1" applyBorder="1" applyAlignment="1" applyProtection="1">
      <alignment horizontal="left" vertical="center"/>
      <protection locked="0"/>
    </xf>
    <xf numFmtId="9" fontId="6" fillId="4" borderId="0" xfId="14" applyFont="1" applyFill="1" applyBorder="1" applyAlignment="1" applyProtection="1">
      <alignment horizontal="right" vertical="center"/>
      <protection locked="0"/>
    </xf>
    <xf numFmtId="4" fontId="6" fillId="10" borderId="0" xfId="14" applyNumberFormat="1" applyFont="1" applyFill="1" applyBorder="1" applyAlignment="1" applyProtection="1">
      <alignment horizontal="right" vertical="center"/>
      <protection locked="0"/>
    </xf>
    <xf numFmtId="37" fontId="6" fillId="4" borderId="0" xfId="2" applyNumberFormat="1" applyFont="1" applyFill="1" applyBorder="1" applyAlignment="1" applyProtection="1">
      <alignment vertical="center" wrapText="1"/>
      <protection locked="0"/>
    </xf>
    <xf numFmtId="4" fontId="6" fillId="10" borderId="17" xfId="14" applyNumberFormat="1" applyFont="1" applyFill="1" applyBorder="1" applyAlignment="1" applyProtection="1">
      <alignment horizontal="right" vertical="center"/>
      <protection locked="0"/>
    </xf>
    <xf numFmtId="37" fontId="6" fillId="4" borderId="17" xfId="2" applyNumberFormat="1" applyFont="1" applyFill="1" applyBorder="1" applyAlignment="1" applyProtection="1">
      <alignment vertical="center" wrapText="1"/>
      <protection locked="0"/>
    </xf>
    <xf numFmtId="37" fontId="68" fillId="4" borderId="0" xfId="2" applyNumberFormat="1" applyFont="1" applyFill="1" applyBorder="1" applyAlignment="1" applyProtection="1">
      <alignment vertical="center" wrapText="1"/>
      <protection locked="0"/>
    </xf>
    <xf numFmtId="0" fontId="7" fillId="2" borderId="22" xfId="1" applyFont="1" applyFill="1" applyBorder="1" applyAlignment="1" applyProtection="1">
      <alignment vertical="center" wrapText="1"/>
      <protection locked="0"/>
    </xf>
    <xf numFmtId="0" fontId="1" fillId="2" borderId="17" xfId="1" applyFont="1" applyFill="1" applyBorder="1" applyAlignment="1" applyProtection="1">
      <alignment vertical="center"/>
      <protection locked="0"/>
    </xf>
    <xf numFmtId="37" fontId="7" fillId="2" borderId="0" xfId="2" applyNumberFormat="1" applyFont="1" applyFill="1" applyBorder="1" applyAlignment="1" applyProtection="1">
      <alignment horizontal="right" vertical="center"/>
      <protection locked="0"/>
    </xf>
    <xf numFmtId="3" fontId="6" fillId="2" borderId="6" xfId="1" applyNumberFormat="1" applyFont="1" applyFill="1" applyBorder="1" applyAlignment="1" applyProtection="1">
      <alignment horizontal="left" vertical="center" wrapText="1"/>
      <protection locked="0"/>
    </xf>
    <xf numFmtId="3" fontId="11" fillId="4" borderId="21" xfId="1" applyNumberFormat="1" applyFont="1" applyFill="1" applyBorder="1" applyAlignment="1" applyProtection="1">
      <alignment vertical="center"/>
      <protection locked="0"/>
    </xf>
    <xf numFmtId="37" fontId="11" fillId="4" borderId="21" xfId="2" applyNumberFormat="1" applyFont="1" applyFill="1" applyBorder="1" applyAlignment="1" applyProtection="1">
      <alignment horizontal="left" vertical="center"/>
      <protection locked="0"/>
    </xf>
    <xf numFmtId="166" fontId="20" fillId="10" borderId="21" xfId="4" applyNumberFormat="1" applyFont="1" applyFill="1" applyBorder="1" applyAlignment="1" applyProtection="1">
      <alignment horizontal="right" vertical="center"/>
      <protection locked="0"/>
    </xf>
    <xf numFmtId="37" fontId="20" fillId="4" borderId="21" xfId="2" applyNumberFormat="1" applyFont="1" applyFill="1" applyBorder="1" applyAlignment="1" applyProtection="1">
      <alignment vertical="center" wrapText="1"/>
      <protection locked="0"/>
    </xf>
    <xf numFmtId="166" fontId="6" fillId="4" borderId="0" xfId="4" applyNumberFormat="1" applyFont="1" applyFill="1" applyBorder="1" applyAlignment="1" applyProtection="1">
      <alignment horizontal="right" vertical="center"/>
      <protection locked="0"/>
    </xf>
    <xf numFmtId="49" fontId="6" fillId="2" borderId="0" xfId="1" applyNumberFormat="1" applyFont="1" applyFill="1" applyAlignment="1" applyProtection="1">
      <alignment horizontal="left" vertical="center" wrapText="1"/>
      <protection locked="0"/>
    </xf>
    <xf numFmtId="3" fontId="11" fillId="2" borderId="0" xfId="1" applyNumberFormat="1" applyFont="1" applyFill="1" applyAlignment="1" applyProtection="1">
      <alignment vertical="center"/>
      <protection locked="0"/>
    </xf>
    <xf numFmtId="37" fontId="7" fillId="2" borderId="0" xfId="2" applyNumberFormat="1" applyFont="1" applyFill="1" applyAlignment="1" applyProtection="1">
      <alignment horizontal="right" vertical="center"/>
      <protection locked="0"/>
    </xf>
    <xf numFmtId="37" fontId="7" fillId="4" borderId="21" xfId="2" applyNumberFormat="1" applyFont="1" applyFill="1" applyBorder="1" applyAlignment="1" applyProtection="1">
      <alignment horizontal="left" vertical="center"/>
      <protection locked="0"/>
    </xf>
    <xf numFmtId="166" fontId="6" fillId="10" borderId="21" xfId="4" applyNumberFormat="1" applyFont="1" applyFill="1" applyBorder="1" applyAlignment="1" applyProtection="1">
      <alignment horizontal="right" vertical="center"/>
      <protection locked="0"/>
    </xf>
    <xf numFmtId="37" fontId="6" fillId="4" borderId="21" xfId="2" applyNumberFormat="1" applyFont="1" applyFill="1" applyBorder="1" applyAlignment="1" applyProtection="1">
      <alignment vertical="center" wrapText="1"/>
      <protection locked="0"/>
    </xf>
    <xf numFmtId="170" fontId="6" fillId="10" borderId="21" xfId="4" applyNumberFormat="1" applyFont="1" applyFill="1" applyBorder="1" applyAlignment="1" applyProtection="1">
      <alignment horizontal="right" vertical="center"/>
      <protection locked="0"/>
    </xf>
    <xf numFmtId="37" fontId="25" fillId="4" borderId="21" xfId="2" applyNumberFormat="1" applyFont="1" applyFill="1" applyBorder="1" applyAlignment="1" applyProtection="1">
      <alignment vertical="center" wrapText="1"/>
      <protection locked="0"/>
    </xf>
    <xf numFmtId="0" fontId="1" fillId="2" borderId="0" xfId="1" applyFont="1" applyFill="1" applyAlignment="1" applyProtection="1">
      <alignment vertical="center" wrapText="1"/>
      <protection locked="0"/>
    </xf>
    <xf numFmtId="166" fontId="26" fillId="4" borderId="0" xfId="4" applyNumberFormat="1" applyFont="1" applyFill="1" applyBorder="1" applyAlignment="1" applyProtection="1">
      <alignment horizontal="right" vertical="center"/>
      <protection locked="0"/>
    </xf>
    <xf numFmtId="37" fontId="26" fillId="4" borderId="0" xfId="2" applyNumberFormat="1" applyFont="1" applyFill="1" applyBorder="1" applyAlignment="1" applyProtection="1">
      <alignment vertical="center" wrapText="1"/>
      <protection locked="0"/>
    </xf>
    <xf numFmtId="0" fontId="16" fillId="7" borderId="5" xfId="1" applyFont="1" applyFill="1" applyBorder="1" applyAlignment="1" applyProtection="1">
      <alignment horizontal="center" vertical="center" wrapText="1"/>
      <protection locked="0"/>
    </xf>
    <xf numFmtId="3" fontId="7" fillId="4" borderId="0" xfId="1" applyNumberFormat="1" applyFont="1" applyFill="1" applyAlignment="1" applyProtection="1">
      <alignment horizontal="left" vertical="center" wrapText="1"/>
      <protection locked="0"/>
    </xf>
    <xf numFmtId="0" fontId="7" fillId="2" borderId="0" xfId="1" applyFont="1" applyFill="1" applyAlignment="1" applyProtection="1">
      <alignment horizontal="left" vertical="center" wrapText="1"/>
      <protection locked="0"/>
    </xf>
    <xf numFmtId="3" fontId="11" fillId="4" borderId="0" xfId="1" applyNumberFormat="1" applyFont="1" applyFill="1" applyAlignment="1" applyProtection="1">
      <alignment horizontal="center" vertical="center"/>
      <protection locked="0"/>
    </xf>
    <xf numFmtId="0" fontId="14" fillId="4" borderId="21" xfId="1" applyFont="1" applyFill="1" applyBorder="1" applyAlignment="1" applyProtection="1">
      <alignment vertical="center"/>
      <protection locked="0"/>
    </xf>
    <xf numFmtId="3" fontId="14" fillId="4" borderId="21" xfId="1" applyNumberFormat="1" applyFont="1" applyFill="1" applyBorder="1" applyAlignment="1" applyProtection="1">
      <alignment horizontal="left" vertical="center" wrapText="1"/>
      <protection locked="0"/>
    </xf>
    <xf numFmtId="0" fontId="28" fillId="2" borderId="0" xfId="1" applyFont="1" applyFill="1" applyAlignment="1" applyProtection="1">
      <alignment horizontal="left" vertical="center"/>
      <protection locked="0"/>
    </xf>
    <xf numFmtId="0" fontId="6" fillId="2" borderId="0" xfId="1" applyFont="1" applyFill="1" applyAlignment="1" applyProtection="1">
      <alignment horizontal="right" vertical="center"/>
      <protection locked="0"/>
    </xf>
    <xf numFmtId="0" fontId="16" fillId="6" borderId="1" xfId="1" applyFont="1" applyFill="1" applyBorder="1" applyAlignment="1" applyProtection="1">
      <alignment vertical="center"/>
      <protection locked="0"/>
    </xf>
    <xf numFmtId="0" fontId="12" fillId="6" borderId="1" xfId="1" applyFont="1" applyFill="1" applyBorder="1" applyAlignment="1" applyProtection="1">
      <alignment horizontal="right" vertical="center"/>
      <protection locked="0"/>
    </xf>
    <xf numFmtId="1" fontId="6" fillId="10" borderId="0" xfId="4" applyNumberFormat="1" applyFont="1" applyFill="1" applyBorder="1" applyAlignment="1" applyProtection="1">
      <alignment horizontal="right" vertical="center"/>
      <protection locked="0"/>
    </xf>
    <xf numFmtId="0" fontId="14" fillId="4" borderId="0" xfId="1" applyFont="1" applyFill="1" applyAlignment="1" applyProtection="1">
      <alignment vertical="center"/>
      <protection locked="0"/>
    </xf>
    <xf numFmtId="3" fontId="14" fillId="4" borderId="0" xfId="1" applyNumberFormat="1" applyFont="1" applyFill="1" applyAlignment="1" applyProtection="1">
      <alignment horizontal="left" vertical="center" wrapText="1"/>
      <protection locked="0"/>
    </xf>
    <xf numFmtId="3" fontId="14" fillId="4" borderId="0" xfId="1" applyNumberFormat="1" applyFont="1" applyFill="1" applyAlignment="1" applyProtection="1">
      <alignment horizontal="right" vertical="center" wrapText="1"/>
      <protection locked="0"/>
    </xf>
    <xf numFmtId="0" fontId="6" fillId="4" borderId="0" xfId="1" applyFont="1" applyFill="1" applyAlignment="1" applyProtection="1">
      <alignment vertical="center"/>
      <protection locked="0"/>
    </xf>
    <xf numFmtId="4" fontId="20" fillId="10" borderId="0" xfId="4" applyNumberFormat="1" applyFont="1" applyFill="1" applyAlignment="1" applyProtection="1">
      <alignment horizontal="right" vertical="center"/>
      <protection locked="0"/>
    </xf>
    <xf numFmtId="0" fontId="14" fillId="4" borderId="18" xfId="1" applyFont="1" applyFill="1" applyBorder="1" applyAlignment="1" applyProtection="1">
      <alignment vertical="center"/>
      <protection locked="0"/>
    </xf>
    <xf numFmtId="3" fontId="14" fillId="4" borderId="18" xfId="1" applyNumberFormat="1" applyFont="1" applyFill="1" applyBorder="1" applyAlignment="1" applyProtection="1">
      <alignment horizontal="left" vertical="center" wrapText="1"/>
      <protection locked="0"/>
    </xf>
    <xf numFmtId="0" fontId="14" fillId="4" borderId="23" xfId="1" applyFont="1" applyFill="1" applyBorder="1" applyAlignment="1" applyProtection="1">
      <alignment vertical="center"/>
      <protection locked="0"/>
    </xf>
    <xf numFmtId="3" fontId="14" fillId="4" borderId="23" xfId="1" applyNumberFormat="1" applyFont="1" applyFill="1" applyBorder="1" applyAlignment="1" applyProtection="1">
      <alignment horizontal="left" vertical="center" wrapText="1"/>
      <protection locked="0"/>
    </xf>
    <xf numFmtId="1" fontId="6" fillId="10" borderId="0" xfId="14" applyNumberFormat="1" applyFont="1" applyFill="1" applyBorder="1" applyAlignment="1" applyProtection="1">
      <alignment horizontal="right" vertical="center"/>
      <protection locked="0"/>
    </xf>
    <xf numFmtId="3" fontId="7" fillId="4" borderId="7" xfId="1" applyNumberFormat="1" applyFont="1" applyFill="1" applyBorder="1" applyAlignment="1" applyProtection="1">
      <alignment horizontal="left" vertical="center" wrapText="1"/>
      <protection locked="0"/>
    </xf>
    <xf numFmtId="3" fontId="11" fillId="4" borderId="0" xfId="1" applyNumberFormat="1" applyFont="1" applyFill="1" applyAlignment="1" applyProtection="1">
      <alignment vertical="center" wrapText="1"/>
      <protection locked="0"/>
    </xf>
    <xf numFmtId="0" fontId="7" fillId="2" borderId="7" xfId="1" applyFont="1" applyFill="1" applyBorder="1" applyAlignment="1" applyProtection="1">
      <alignment horizontal="left" vertical="center" wrapText="1"/>
      <protection locked="0"/>
    </xf>
    <xf numFmtId="0" fontId="14" fillId="4" borderId="2" xfId="1" applyFont="1" applyFill="1" applyBorder="1" applyAlignment="1" applyProtection="1">
      <alignment vertical="center"/>
      <protection locked="0"/>
    </xf>
    <xf numFmtId="3" fontId="14" fillId="4" borderId="2" xfId="1" applyNumberFormat="1" applyFont="1" applyFill="1" applyBorder="1" applyAlignment="1" applyProtection="1">
      <alignment horizontal="left" vertical="center" wrapText="1"/>
      <protection locked="0"/>
    </xf>
    <xf numFmtId="0" fontId="20" fillId="4" borderId="17" xfId="1" applyFont="1" applyFill="1" applyBorder="1" applyAlignment="1" applyProtection="1">
      <alignment vertical="center" wrapText="1"/>
      <protection locked="0"/>
    </xf>
    <xf numFmtId="3" fontId="20" fillId="4" borderId="17" xfId="1" applyNumberFormat="1" applyFont="1" applyFill="1" applyBorder="1" applyAlignment="1" applyProtection="1">
      <alignment horizontal="left" vertical="center" wrapText="1"/>
      <protection locked="0"/>
    </xf>
    <xf numFmtId="37" fontId="70" fillId="4" borderId="17" xfId="2" applyNumberFormat="1" applyFont="1" applyFill="1" applyBorder="1" applyAlignment="1" applyProtection="1">
      <alignment vertical="center" wrapText="1"/>
      <protection locked="0"/>
    </xf>
    <xf numFmtId="167" fontId="6" fillId="4" borderId="0" xfId="4" applyNumberFormat="1" applyFont="1" applyFill="1" applyBorder="1" applyAlignment="1" applyProtection="1">
      <alignment horizontal="right" vertical="center"/>
      <protection locked="0"/>
    </xf>
    <xf numFmtId="0" fontId="14" fillId="4" borderId="24" xfId="1" applyFont="1" applyFill="1" applyBorder="1" applyAlignment="1" applyProtection="1">
      <alignment vertical="center"/>
      <protection locked="0"/>
    </xf>
    <xf numFmtId="3" fontId="14" fillId="4" borderId="24" xfId="1" applyNumberFormat="1" applyFont="1" applyFill="1" applyBorder="1" applyAlignment="1" applyProtection="1">
      <alignment horizontal="left" vertical="center" wrapText="1"/>
      <protection locked="0"/>
    </xf>
    <xf numFmtId="4" fontId="20" fillId="4" borderId="17" xfId="17" applyNumberFormat="1" applyFont="1" applyFill="1" applyBorder="1" applyAlignment="1" applyProtection="1">
      <alignment horizontal="right" vertical="center" wrapText="1"/>
      <protection locked="0"/>
    </xf>
    <xf numFmtId="4" fontId="14" fillId="4" borderId="0" xfId="17" applyNumberFormat="1" applyFont="1" applyFill="1" applyAlignment="1" applyProtection="1">
      <alignment horizontal="right" vertical="center" wrapText="1"/>
      <protection locked="0"/>
    </xf>
    <xf numFmtId="3" fontId="13" fillId="4" borderId="0" xfId="1" applyNumberFormat="1" applyFont="1" applyFill="1" applyAlignment="1" applyProtection="1">
      <alignment horizontal="left" vertical="center"/>
      <protection locked="0"/>
    </xf>
    <xf numFmtId="0" fontId="16" fillId="7" borderId="18" xfId="1" applyFont="1" applyFill="1" applyBorder="1" applyAlignment="1" applyProtection="1">
      <alignment vertical="center" wrapText="1"/>
      <protection locked="0"/>
    </xf>
    <xf numFmtId="0" fontId="16" fillId="7" borderId="18" xfId="1" applyFont="1" applyFill="1" applyBorder="1" applyAlignment="1" applyProtection="1">
      <alignment vertical="center"/>
      <protection locked="0"/>
    </xf>
    <xf numFmtId="0" fontId="16" fillId="7" borderId="18" xfId="1" applyFont="1" applyFill="1" applyBorder="1" applyAlignment="1" applyProtection="1">
      <alignment horizontal="center" vertical="center" wrapText="1"/>
      <protection locked="0"/>
    </xf>
    <xf numFmtId="0" fontId="16" fillId="7" borderId="18" xfId="1" applyFont="1" applyFill="1" applyBorder="1" applyAlignment="1" applyProtection="1">
      <alignment horizontal="left" vertical="center"/>
      <protection locked="0"/>
    </xf>
    <xf numFmtId="3" fontId="42" fillId="4" borderId="0" xfId="1" applyNumberFormat="1" applyFont="1" applyFill="1" applyAlignment="1" applyProtection="1">
      <alignment horizontal="left" vertical="center"/>
      <protection locked="0"/>
    </xf>
    <xf numFmtId="3" fontId="42" fillId="4" borderId="0" xfId="1" applyNumberFormat="1" applyFont="1" applyFill="1" applyAlignment="1" applyProtection="1">
      <alignment vertical="center"/>
      <protection locked="0"/>
    </xf>
    <xf numFmtId="49" fontId="7" fillId="4" borderId="0" xfId="2" applyNumberFormat="1" applyFont="1" applyFill="1" applyBorder="1" applyAlignment="1" applyProtection="1">
      <alignment horizontal="center" vertical="center"/>
      <protection locked="0"/>
    </xf>
    <xf numFmtId="3" fontId="69" fillId="7" borderId="18" xfId="1" applyNumberFormat="1" applyFont="1" applyFill="1" applyBorder="1" applyAlignment="1" applyProtection="1">
      <alignment vertical="center"/>
      <protection locked="0"/>
    </xf>
    <xf numFmtId="0" fontId="20" fillId="7" borderId="18" xfId="1" applyFont="1" applyFill="1" applyBorder="1" applyAlignment="1" applyProtection="1">
      <alignment vertical="center"/>
      <protection locked="0"/>
    </xf>
    <xf numFmtId="0" fontId="31" fillId="7" borderId="18" xfId="1" applyFont="1" applyFill="1" applyBorder="1" applyAlignment="1" applyProtection="1">
      <alignment horizontal="center" vertical="center" wrapText="1"/>
      <protection locked="0"/>
    </xf>
    <xf numFmtId="2" fontId="11" fillId="7" borderId="18" xfId="1" applyNumberFormat="1" applyFont="1" applyFill="1" applyBorder="1" applyAlignment="1" applyProtection="1">
      <alignment vertical="center"/>
      <protection locked="0"/>
    </xf>
    <xf numFmtId="170" fontId="20" fillId="7" borderId="18" xfId="4" applyNumberFormat="1" applyFont="1" applyFill="1" applyBorder="1" applyAlignment="1" applyProtection="1">
      <alignment horizontal="right" vertical="center"/>
      <protection locked="0"/>
    </xf>
    <xf numFmtId="37" fontId="11" fillId="7" borderId="18" xfId="2" applyNumberFormat="1" applyFont="1" applyFill="1" applyBorder="1" applyAlignment="1" applyProtection="1">
      <alignment vertical="center" wrapText="1"/>
      <protection locked="0"/>
    </xf>
    <xf numFmtId="0" fontId="20" fillId="4" borderId="17" xfId="1" applyFont="1" applyFill="1" applyBorder="1" applyAlignment="1" applyProtection="1">
      <alignment vertical="center"/>
      <protection locked="0"/>
    </xf>
    <xf numFmtId="173" fontId="20" fillId="4" borderId="17" xfId="4" applyNumberFormat="1" applyFont="1" applyFill="1" applyBorder="1" applyAlignment="1" applyProtection="1">
      <alignment horizontal="right" vertical="center"/>
      <protection locked="0"/>
    </xf>
    <xf numFmtId="169" fontId="55" fillId="2" borderId="0" xfId="1" applyNumberFormat="1" applyFont="1" applyFill="1" applyProtection="1">
      <protection locked="0"/>
    </xf>
    <xf numFmtId="173" fontId="6" fillId="4" borderId="0" xfId="4" applyNumberFormat="1" applyFont="1" applyFill="1" applyBorder="1" applyAlignment="1" applyProtection="1">
      <alignment horizontal="right" vertical="center"/>
      <protection locked="0"/>
    </xf>
    <xf numFmtId="3" fontId="42" fillId="7" borderId="18" xfId="1" applyNumberFormat="1" applyFont="1" applyFill="1" applyBorder="1" applyAlignment="1" applyProtection="1">
      <alignment vertical="center"/>
      <protection locked="0"/>
    </xf>
    <xf numFmtId="0" fontId="6" fillId="7" borderId="18" xfId="1" applyFont="1" applyFill="1" applyBorder="1" applyAlignment="1" applyProtection="1">
      <alignment vertical="center"/>
      <protection locked="0"/>
    </xf>
    <xf numFmtId="170" fontId="6" fillId="7" borderId="18" xfId="4" applyNumberFormat="1" applyFont="1" applyFill="1" applyBorder="1" applyAlignment="1" applyProtection="1">
      <alignment horizontal="right" vertical="center"/>
      <protection locked="0"/>
    </xf>
    <xf numFmtId="37" fontId="7" fillId="7" borderId="18" xfId="2" applyNumberFormat="1" applyFont="1" applyFill="1" applyBorder="1" applyAlignment="1" applyProtection="1">
      <alignment vertical="center" wrapText="1"/>
      <protection locked="0"/>
    </xf>
    <xf numFmtId="0" fontId="6" fillId="4" borderId="17" xfId="1" applyFont="1" applyFill="1" applyBorder="1" applyAlignment="1" applyProtection="1">
      <alignment vertical="center"/>
      <protection locked="0"/>
    </xf>
    <xf numFmtId="173" fontId="6" fillId="4" borderId="17" xfId="4" applyNumberFormat="1" applyFont="1" applyFill="1" applyBorder="1" applyAlignment="1" applyProtection="1">
      <alignment horizontal="right" vertical="center"/>
      <protection locked="0"/>
    </xf>
    <xf numFmtId="37" fontId="62" fillId="4" borderId="17" xfId="2" applyNumberFormat="1" applyFont="1" applyFill="1" applyBorder="1" applyAlignment="1" applyProtection="1">
      <alignment vertical="center" wrapText="1"/>
      <protection locked="0"/>
    </xf>
    <xf numFmtId="0" fontId="1" fillId="2" borderId="0" xfId="1" applyFont="1" applyFill="1" applyProtection="1">
      <protection locked="0"/>
    </xf>
    <xf numFmtId="1" fontId="20" fillId="10" borderId="0" xfId="4" applyNumberFormat="1" applyFont="1" applyFill="1" applyAlignment="1" applyProtection="1">
      <alignment horizontal="right" vertical="center"/>
      <protection locked="0"/>
    </xf>
    <xf numFmtId="3" fontId="42" fillId="4" borderId="15" xfId="1" applyNumberFormat="1" applyFont="1" applyFill="1" applyBorder="1" applyAlignment="1" applyProtection="1">
      <alignment vertical="center" wrapText="1"/>
      <protection locked="0"/>
    </xf>
    <xf numFmtId="0" fontId="6" fillId="4" borderId="15" xfId="1" applyFont="1" applyFill="1" applyBorder="1" applyAlignment="1" applyProtection="1">
      <alignment vertical="center"/>
      <protection locked="0"/>
    </xf>
    <xf numFmtId="49" fontId="11" fillId="4" borderId="15" xfId="2" applyNumberFormat="1" applyFont="1" applyFill="1" applyBorder="1" applyAlignment="1" applyProtection="1">
      <alignment horizontal="center" vertical="center"/>
      <protection locked="0"/>
    </xf>
    <xf numFmtId="2" fontId="11" fillId="4" borderId="15" xfId="1" applyNumberFormat="1" applyFont="1" applyFill="1" applyBorder="1" applyAlignment="1" applyProtection="1">
      <alignment vertical="center"/>
      <protection locked="0"/>
    </xf>
    <xf numFmtId="173" fontId="6" fillId="4" borderId="15" xfId="4" applyNumberFormat="1" applyFont="1" applyFill="1" applyBorder="1" applyAlignment="1" applyProtection="1">
      <alignment horizontal="right" vertical="center"/>
      <protection locked="0"/>
    </xf>
    <xf numFmtId="37" fontId="62" fillId="4" borderId="15" xfId="2" applyNumberFormat="1" applyFont="1" applyFill="1" applyBorder="1" applyAlignment="1" applyProtection="1">
      <alignment vertical="center" wrapText="1"/>
      <protection locked="0"/>
    </xf>
    <xf numFmtId="0" fontId="6" fillId="4" borderId="21" xfId="1" applyFont="1" applyFill="1" applyBorder="1" applyAlignment="1" applyProtection="1">
      <alignment vertical="center"/>
      <protection locked="0"/>
    </xf>
    <xf numFmtId="2" fontId="11" fillId="4" borderId="21" xfId="1" applyNumberFormat="1" applyFont="1" applyFill="1" applyBorder="1" applyAlignment="1" applyProtection="1">
      <alignment vertical="center"/>
      <protection locked="0"/>
    </xf>
    <xf numFmtId="173" fontId="6" fillId="4" borderId="21" xfId="4" applyNumberFormat="1" applyFont="1" applyFill="1" applyBorder="1" applyAlignment="1" applyProtection="1">
      <alignment horizontal="right" vertical="center"/>
      <protection locked="0"/>
    </xf>
    <xf numFmtId="3" fontId="11" fillId="4" borderId="18" xfId="1" applyNumberFormat="1" applyFont="1" applyFill="1" applyBorder="1" applyAlignment="1" applyProtection="1">
      <alignment vertical="center"/>
      <protection locked="0"/>
    </xf>
    <xf numFmtId="37" fontId="7" fillId="4" borderId="18" xfId="2" applyNumberFormat="1" applyFont="1" applyFill="1" applyBorder="1" applyAlignment="1" applyProtection="1">
      <alignment horizontal="left" vertical="center"/>
      <protection locked="0"/>
    </xf>
    <xf numFmtId="170" fontId="6" fillId="10" borderId="18" xfId="4" applyNumberFormat="1" applyFont="1" applyFill="1" applyBorder="1" applyAlignment="1" applyProtection="1">
      <alignment horizontal="right" vertical="center"/>
      <protection locked="0"/>
    </xf>
    <xf numFmtId="37" fontId="7" fillId="4" borderId="18" xfId="2" applyNumberFormat="1" applyFont="1" applyFill="1" applyBorder="1" applyAlignment="1" applyProtection="1">
      <alignment vertical="center" wrapText="1"/>
      <protection locked="0"/>
    </xf>
    <xf numFmtId="3" fontId="11" fillId="4" borderId="4" xfId="1" applyNumberFormat="1" applyFont="1" applyFill="1" applyBorder="1" applyAlignment="1" applyProtection="1">
      <alignment vertical="center"/>
      <protection locked="0"/>
    </xf>
    <xf numFmtId="37" fontId="7" fillId="4" borderId="4" xfId="2" applyNumberFormat="1" applyFont="1" applyFill="1" applyBorder="1" applyAlignment="1" applyProtection="1">
      <alignment horizontal="left" vertical="center"/>
      <protection locked="0"/>
    </xf>
    <xf numFmtId="170" fontId="6" fillId="10" borderId="6" xfId="4" applyNumberFormat="1" applyFont="1" applyFill="1" applyBorder="1" applyAlignment="1" applyProtection="1">
      <alignment horizontal="right" vertical="center"/>
      <protection locked="0"/>
    </xf>
    <xf numFmtId="37" fontId="7" fillId="4" borderId="4" xfId="2" applyNumberFormat="1" applyFont="1" applyFill="1" applyBorder="1" applyAlignment="1" applyProtection="1">
      <alignment vertical="center" wrapText="1"/>
      <protection locked="0"/>
    </xf>
    <xf numFmtId="3" fontId="11" fillId="4" borderId="10" xfId="1" applyNumberFormat="1" applyFont="1" applyFill="1" applyBorder="1" applyAlignment="1" applyProtection="1">
      <alignment vertical="center"/>
      <protection locked="0"/>
    </xf>
    <xf numFmtId="0" fontId="12" fillId="6" borderId="1" xfId="1" applyFont="1" applyFill="1" applyBorder="1" applyAlignment="1" applyProtection="1">
      <alignment vertical="center" wrapText="1"/>
      <protection locked="0"/>
    </xf>
    <xf numFmtId="0" fontId="12" fillId="6" borderId="3" xfId="1" applyFont="1" applyFill="1" applyBorder="1" applyAlignment="1" applyProtection="1">
      <alignment horizontal="center" vertical="center"/>
      <protection locked="0"/>
    </xf>
    <xf numFmtId="0" fontId="12" fillId="7" borderId="5" xfId="1" applyFont="1" applyFill="1" applyBorder="1" applyAlignment="1" applyProtection="1">
      <alignment vertical="center"/>
      <protection locked="0"/>
    </xf>
    <xf numFmtId="0" fontId="93" fillId="7" borderId="22" xfId="1" applyFont="1" applyFill="1" applyBorder="1" applyAlignment="1" applyProtection="1">
      <alignment horizontal="center" vertical="center" wrapText="1"/>
      <protection locked="0"/>
    </xf>
    <xf numFmtId="0" fontId="12" fillId="7" borderId="5" xfId="1" applyFont="1" applyFill="1" applyBorder="1" applyAlignment="1" applyProtection="1">
      <alignment horizontal="right" vertical="center"/>
      <protection locked="0"/>
    </xf>
    <xf numFmtId="0" fontId="12" fillId="7" borderId="5" xfId="1" applyFont="1" applyFill="1" applyBorder="1" applyAlignment="1" applyProtection="1">
      <alignment horizontal="left" vertical="center" wrapText="1"/>
      <protection locked="0"/>
    </xf>
    <xf numFmtId="0" fontId="25" fillId="4" borderId="0" xfId="0" applyFont="1" applyFill="1" applyAlignment="1" applyProtection="1">
      <alignment vertical="center"/>
      <protection locked="0"/>
    </xf>
    <xf numFmtId="0" fontId="25" fillId="10" borderId="0" xfId="0" applyFont="1" applyFill="1" applyAlignment="1" applyProtection="1">
      <alignment vertical="center"/>
      <protection locked="0"/>
    </xf>
    <xf numFmtId="0" fontId="12" fillId="7" borderId="8" xfId="1" applyFont="1" applyFill="1" applyBorder="1" applyAlignment="1" applyProtection="1">
      <alignment vertical="center"/>
      <protection locked="0"/>
    </xf>
    <xf numFmtId="0" fontId="93" fillId="7" borderId="15" xfId="1" applyFont="1" applyFill="1" applyBorder="1" applyAlignment="1" applyProtection="1">
      <alignment horizontal="center" vertical="center" wrapText="1"/>
      <protection locked="0"/>
    </xf>
    <xf numFmtId="0" fontId="31" fillId="7" borderId="15" xfId="1" applyFont="1" applyFill="1" applyBorder="1" applyAlignment="1" applyProtection="1">
      <alignment horizontal="center" vertical="center" wrapText="1"/>
      <protection locked="0"/>
    </xf>
    <xf numFmtId="0" fontId="12" fillId="7" borderId="8" xfId="1" applyFont="1" applyFill="1" applyBorder="1" applyAlignment="1" applyProtection="1">
      <alignment horizontal="right" vertical="center"/>
      <protection locked="0"/>
    </xf>
    <xf numFmtId="0" fontId="16" fillId="7" borderId="8" xfId="1" applyFont="1" applyFill="1" applyBorder="1" applyAlignment="1" applyProtection="1">
      <alignment horizontal="center" vertical="center"/>
      <protection locked="0"/>
    </xf>
    <xf numFmtId="0" fontId="71" fillId="7" borderId="8" xfId="1" applyFont="1" applyFill="1" applyBorder="1" applyAlignment="1" applyProtection="1">
      <alignment horizontal="left" vertical="center" wrapText="1"/>
      <protection locked="0"/>
    </xf>
    <xf numFmtId="0" fontId="25" fillId="4" borderId="9" xfId="0" applyFont="1" applyFill="1" applyBorder="1" applyAlignment="1" applyProtection="1">
      <alignment vertical="center"/>
      <protection locked="0"/>
    </xf>
    <xf numFmtId="0" fontId="25" fillId="10" borderId="9" xfId="0" applyFont="1" applyFill="1" applyBorder="1" applyAlignment="1" applyProtection="1">
      <alignment vertical="center"/>
      <protection locked="0"/>
    </xf>
    <xf numFmtId="0" fontId="12" fillId="7" borderId="8" xfId="1" applyFont="1" applyFill="1" applyBorder="1" applyAlignment="1" applyProtection="1">
      <alignment horizontal="left" vertical="center"/>
      <protection locked="0"/>
    </xf>
    <xf numFmtId="0" fontId="12" fillId="7" borderId="8" xfId="1" applyFont="1" applyFill="1" applyBorder="1" applyAlignment="1" applyProtection="1">
      <alignment horizontal="left" vertical="center" wrapText="1"/>
      <protection locked="0"/>
    </xf>
    <xf numFmtId="0" fontId="48" fillId="4" borderId="0" xfId="0" applyFont="1" applyFill="1" applyProtection="1">
      <protection locked="0"/>
    </xf>
    <xf numFmtId="0" fontId="25" fillId="4" borderId="0" xfId="0" applyFont="1" applyFill="1" applyProtection="1">
      <protection locked="0"/>
    </xf>
    <xf numFmtId="0" fontId="17" fillId="2" borderId="0" xfId="1" applyFont="1" applyFill="1" applyAlignment="1" applyProtection="1">
      <alignment vertical="center"/>
      <protection locked="0"/>
    </xf>
    <xf numFmtId="0" fontId="29" fillId="2" borderId="0" xfId="1" applyFont="1" applyFill="1" applyAlignment="1" applyProtection="1">
      <alignment vertical="center"/>
      <protection locked="0"/>
    </xf>
    <xf numFmtId="0" fontId="4" fillId="2" borderId="0" xfId="1" applyFill="1" applyAlignment="1" applyProtection="1">
      <alignment vertical="center"/>
      <protection locked="0"/>
    </xf>
    <xf numFmtId="0" fontId="4" fillId="2" borderId="0" xfId="1" applyFill="1" applyAlignment="1" applyProtection="1">
      <alignment horizontal="right" vertical="center"/>
      <protection locked="0"/>
    </xf>
    <xf numFmtId="0" fontId="34" fillId="4" borderId="0" xfId="0" applyFont="1" applyFill="1" applyAlignment="1" applyProtection="1">
      <alignment vertical="center"/>
      <protection locked="0"/>
    </xf>
    <xf numFmtId="0" fontId="30" fillId="12" borderId="12" xfId="1" applyFont="1" applyFill="1" applyBorder="1" applyAlignment="1" applyProtection="1">
      <alignment vertical="center"/>
      <protection locked="0"/>
    </xf>
    <xf numFmtId="0" fontId="30" fillId="12" borderId="13" xfId="1" applyFont="1" applyFill="1" applyBorder="1" applyAlignment="1" applyProtection="1">
      <alignment horizontal="center" vertical="center"/>
      <protection locked="0"/>
    </xf>
    <xf numFmtId="0" fontId="30" fillId="12" borderId="14" xfId="1" applyFont="1" applyFill="1" applyBorder="1" applyAlignment="1" applyProtection="1">
      <alignment horizontal="center" vertical="center"/>
      <protection locked="0"/>
    </xf>
    <xf numFmtId="0" fontId="17" fillId="2" borderId="12" xfId="1" applyFont="1" applyFill="1" applyBorder="1" applyAlignment="1" applyProtection="1">
      <alignment vertical="center"/>
      <protection locked="0"/>
    </xf>
    <xf numFmtId="0" fontId="63" fillId="4" borderId="11" xfId="1" applyFont="1" applyFill="1" applyBorder="1" applyAlignment="1" applyProtection="1">
      <alignment vertical="center"/>
      <protection locked="0"/>
    </xf>
    <xf numFmtId="0" fontId="17" fillId="7" borderId="12" xfId="1" applyFont="1" applyFill="1" applyBorder="1" applyAlignment="1" applyProtection="1">
      <alignment vertical="center"/>
      <protection locked="0"/>
    </xf>
    <xf numFmtId="0" fontId="30" fillId="7" borderId="12" xfId="1" applyFont="1" applyFill="1" applyBorder="1" applyAlignment="1" applyProtection="1">
      <alignment vertical="center"/>
      <protection locked="0"/>
    </xf>
    <xf numFmtId="0" fontId="30" fillId="4" borderId="11" xfId="1" applyFont="1" applyFill="1" applyBorder="1" applyAlignment="1" applyProtection="1">
      <alignment vertical="center"/>
      <protection locked="0"/>
    </xf>
    <xf numFmtId="0" fontId="63" fillId="4" borderId="0" xfId="1" applyFont="1" applyFill="1" applyAlignment="1" applyProtection="1">
      <alignment vertical="center"/>
      <protection locked="0"/>
    </xf>
    <xf numFmtId="0" fontId="63" fillId="4" borderId="0" xfId="1" applyFont="1" applyFill="1" applyAlignment="1" applyProtection="1">
      <alignment horizontal="center" vertical="center"/>
      <protection locked="0"/>
    </xf>
    <xf numFmtId="0" fontId="23" fillId="2" borderId="0" xfId="1" applyFont="1" applyFill="1" applyAlignment="1" applyProtection="1">
      <alignment vertical="center" wrapText="1"/>
      <protection locked="0"/>
    </xf>
    <xf numFmtId="0" fontId="6" fillId="2" borderId="15" xfId="1" applyFont="1" applyFill="1" applyBorder="1" applyAlignment="1" applyProtection="1">
      <alignment horizontal="left" vertical="center"/>
    </xf>
    <xf numFmtId="4" fontId="14" fillId="5" borderId="24" xfId="17" applyNumberFormat="1" applyFont="1" applyFill="1" applyBorder="1" applyAlignment="1" applyProtection="1">
      <alignment horizontal="right" vertical="center" wrapText="1"/>
    </xf>
    <xf numFmtId="4" fontId="14" fillId="5" borderId="18" xfId="1" applyNumberFormat="1" applyFont="1" applyFill="1" applyBorder="1" applyAlignment="1" applyProtection="1">
      <alignment horizontal="right" vertical="center" wrapText="1"/>
    </xf>
    <xf numFmtId="4" fontId="14" fillId="5" borderId="9" xfId="17" applyNumberFormat="1" applyFont="1" applyFill="1" applyBorder="1" applyAlignment="1" applyProtection="1">
      <alignment horizontal="right" vertical="center" wrapText="1"/>
    </xf>
    <xf numFmtId="4" fontId="14" fillId="5" borderId="2" xfId="17" applyNumberFormat="1" applyFont="1" applyFill="1" applyBorder="1" applyAlignment="1" applyProtection="1">
      <alignment horizontal="right" vertical="center" wrapText="1"/>
    </xf>
    <xf numFmtId="170" fontId="14" fillId="5" borderId="2" xfId="1" applyNumberFormat="1" applyFont="1" applyFill="1" applyBorder="1" applyAlignment="1" applyProtection="1">
      <alignment horizontal="right" vertical="center" wrapText="1"/>
    </xf>
    <xf numFmtId="0" fontId="4" fillId="2" borderId="0" xfId="1" applyFill="1" applyAlignment="1" applyProtection="1">
      <alignment vertical="center" wrapText="1"/>
      <protection locked="0"/>
    </xf>
    <xf numFmtId="0" fontId="44" fillId="2" borderId="0" xfId="1" applyFont="1" applyFill="1" applyProtection="1">
      <protection locked="0"/>
    </xf>
    <xf numFmtId="0" fontId="4" fillId="2" borderId="0" xfId="1" applyFill="1" applyProtection="1">
      <protection locked="0"/>
    </xf>
    <xf numFmtId="37" fontId="7" fillId="4" borderId="21" xfId="2" applyNumberFormat="1" applyFont="1" applyFill="1" applyBorder="1" applyAlignment="1" applyProtection="1">
      <alignment vertical="center" wrapText="1"/>
      <protection locked="0"/>
    </xf>
    <xf numFmtId="0" fontId="14" fillId="4" borderId="9" xfId="1" applyFont="1" applyFill="1" applyBorder="1" applyAlignment="1" applyProtection="1">
      <alignment vertical="center"/>
      <protection locked="0"/>
    </xf>
    <xf numFmtId="3" fontId="14" fillId="4" borderId="9" xfId="1" applyNumberFormat="1" applyFont="1" applyFill="1" applyBorder="1" applyAlignment="1" applyProtection="1">
      <alignment horizontal="left" vertical="center" wrapText="1"/>
      <protection locked="0"/>
    </xf>
    <xf numFmtId="4" fontId="4" fillId="2" borderId="0" xfId="1" applyNumberFormat="1" applyFill="1" applyAlignment="1" applyProtection="1">
      <alignment vertical="center" wrapText="1"/>
      <protection locked="0"/>
    </xf>
    <xf numFmtId="0" fontId="76" fillId="2" borderId="0" xfId="1" applyFont="1" applyFill="1" applyAlignment="1" applyProtection="1">
      <alignment vertical="center"/>
      <protection locked="0"/>
    </xf>
    <xf numFmtId="0" fontId="77" fillId="2" borderId="0" xfId="1" applyFont="1" applyFill="1" applyAlignment="1" applyProtection="1">
      <alignment vertical="center"/>
      <protection locked="0"/>
    </xf>
    <xf numFmtId="3" fontId="6" fillId="4" borderId="9" xfId="1" applyNumberFormat="1" applyFont="1" applyFill="1" applyBorder="1" applyAlignment="1" applyProtection="1">
      <alignment vertical="center"/>
      <protection locked="0"/>
    </xf>
    <xf numFmtId="37" fontId="7" fillId="4" borderId="9" xfId="2" applyNumberFormat="1" applyFont="1" applyFill="1" applyBorder="1" applyAlignment="1" applyProtection="1">
      <alignment horizontal="left" vertical="center"/>
      <protection locked="0"/>
    </xf>
    <xf numFmtId="4" fontId="6" fillId="10" borderId="9" xfId="1" applyNumberFormat="1" applyFont="1" applyFill="1" applyBorder="1" applyAlignment="1" applyProtection="1">
      <alignment horizontal="right" vertical="center"/>
      <protection locked="0"/>
    </xf>
    <xf numFmtId="37" fontId="6" fillId="4" borderId="9" xfId="2" applyNumberFormat="1" applyFont="1" applyFill="1" applyBorder="1" applyAlignment="1" applyProtection="1">
      <alignment vertical="center" wrapText="1"/>
      <protection locked="0"/>
    </xf>
    <xf numFmtId="3" fontId="6" fillId="4" borderId="0" xfId="1" applyNumberFormat="1" applyFont="1" applyFill="1" applyAlignment="1" applyProtection="1">
      <alignment vertical="center"/>
      <protection locked="0"/>
    </xf>
    <xf numFmtId="0" fontId="6" fillId="2" borderId="6" xfId="1" applyFont="1" applyFill="1" applyBorder="1" applyAlignment="1" applyProtection="1">
      <alignment vertical="center"/>
      <protection locked="0"/>
    </xf>
    <xf numFmtId="4" fontId="20" fillId="10" borderId="21" xfId="4" applyNumberFormat="1" applyFont="1" applyFill="1" applyBorder="1" applyAlignment="1" applyProtection="1">
      <alignment horizontal="right" vertical="center"/>
      <protection locked="0"/>
    </xf>
    <xf numFmtId="3" fontId="6" fillId="4" borderId="20" xfId="1" applyNumberFormat="1" applyFont="1" applyFill="1" applyBorder="1" applyAlignment="1" applyProtection="1">
      <alignment vertical="center"/>
      <protection locked="0"/>
    </xf>
    <xf numFmtId="37" fontId="7" fillId="4" borderId="20" xfId="2" applyNumberFormat="1" applyFont="1" applyFill="1" applyBorder="1" applyAlignment="1" applyProtection="1">
      <alignment horizontal="left" vertical="center"/>
      <protection locked="0"/>
    </xf>
    <xf numFmtId="4" fontId="6" fillId="10" borderId="20" xfId="1" applyNumberFormat="1" applyFont="1" applyFill="1" applyBorder="1" applyAlignment="1" applyProtection="1">
      <alignment horizontal="right" vertical="center"/>
      <protection locked="0"/>
    </xf>
    <xf numFmtId="37" fontId="6" fillId="4" borderId="20" xfId="2" applyNumberFormat="1" applyFont="1" applyFill="1" applyBorder="1" applyAlignment="1" applyProtection="1">
      <alignment vertical="center" wrapText="1"/>
      <protection locked="0"/>
    </xf>
    <xf numFmtId="37" fontId="7" fillId="2" borderId="6" xfId="2" applyNumberFormat="1" applyFont="1" applyFill="1" applyBorder="1" applyAlignment="1" applyProtection="1">
      <alignment horizontal="right" vertical="center"/>
      <protection locked="0"/>
    </xf>
    <xf numFmtId="4" fontId="6" fillId="10" borderId="6" xfId="14" applyNumberFormat="1" applyFont="1" applyFill="1" applyBorder="1" applyAlignment="1" applyProtection="1">
      <alignment horizontal="right" vertical="center"/>
      <protection locked="0"/>
    </xf>
    <xf numFmtId="37" fontId="11" fillId="4" borderId="17" xfId="2" applyNumberFormat="1" applyFont="1" applyFill="1" applyBorder="1" applyAlignment="1" applyProtection="1">
      <alignment horizontal="left" vertical="center"/>
      <protection locked="0"/>
    </xf>
    <xf numFmtId="4" fontId="20" fillId="10" borderId="17" xfId="4" applyNumberFormat="1" applyFont="1" applyFill="1" applyBorder="1" applyAlignment="1" applyProtection="1">
      <alignment horizontal="right" vertical="center"/>
      <protection locked="0"/>
    </xf>
    <xf numFmtId="37" fontId="20" fillId="4" borderId="17" xfId="2" applyNumberFormat="1" applyFont="1" applyFill="1" applyBorder="1" applyAlignment="1" applyProtection="1">
      <alignment vertical="center" wrapText="1"/>
      <protection locked="0"/>
    </xf>
    <xf numFmtId="0" fontId="9" fillId="2" borderId="0" xfId="1" applyFont="1" applyFill="1" applyAlignment="1" applyProtection="1">
      <alignment vertical="center"/>
      <protection locked="0"/>
    </xf>
    <xf numFmtId="166" fontId="9" fillId="4" borderId="0" xfId="4" applyNumberFormat="1" applyFont="1" applyFill="1" applyBorder="1" applyAlignment="1" applyProtection="1">
      <alignment vertical="center"/>
      <protection locked="0"/>
    </xf>
    <xf numFmtId="3" fontId="42" fillId="4" borderId="17" xfId="1" applyNumberFormat="1" applyFont="1" applyFill="1" applyBorder="1" applyAlignment="1" applyProtection="1">
      <alignment vertical="center"/>
      <protection locked="0"/>
    </xf>
    <xf numFmtId="0" fontId="12" fillId="7" borderId="5" xfId="1" applyFont="1" applyFill="1" applyBorder="1" applyAlignment="1" applyProtection="1">
      <alignment horizontal="center" vertical="center" wrapText="1"/>
      <protection locked="0"/>
    </xf>
    <xf numFmtId="0" fontId="92" fillId="7" borderId="15" xfId="1" applyFont="1" applyFill="1" applyBorder="1" applyAlignment="1" applyProtection="1">
      <alignment horizontal="center" vertical="center" wrapText="1"/>
      <protection locked="0"/>
    </xf>
    <xf numFmtId="0" fontId="4" fillId="2" borderId="0" xfId="1" applyFill="1" applyAlignment="1" applyProtection="1">
      <alignment vertical="center"/>
    </xf>
    <xf numFmtId="0" fontId="44" fillId="2" borderId="0" xfId="1" applyFont="1" applyFill="1" applyProtection="1"/>
    <xf numFmtId="0" fontId="4" fillId="2" borderId="0" xfId="1" applyFill="1" applyProtection="1"/>
    <xf numFmtId="0" fontId="44" fillId="12" borderId="0" xfId="1" applyFont="1" applyFill="1" applyProtection="1"/>
    <xf numFmtId="0" fontId="4" fillId="12" borderId="0" xfId="1" applyFill="1" applyProtection="1"/>
    <xf numFmtId="0" fontId="44" fillId="4" borderId="0" xfId="1" applyFont="1" applyFill="1" applyProtection="1"/>
    <xf numFmtId="0" fontId="44" fillId="15" borderId="0" xfId="1" applyFont="1" applyFill="1" applyProtection="1"/>
    <xf numFmtId="169" fontId="57" fillId="14" borderId="10" xfId="0" applyNumberFormat="1" applyFont="1" applyFill="1" applyBorder="1" applyProtection="1"/>
    <xf numFmtId="169" fontId="57" fillId="13" borderId="10" xfId="0" applyNumberFormat="1" applyFont="1" applyFill="1" applyBorder="1" applyProtection="1"/>
    <xf numFmtId="169" fontId="57" fillId="8" borderId="10" xfId="0" applyNumberFormat="1" applyFont="1" applyFill="1" applyBorder="1" applyProtection="1"/>
    <xf numFmtId="1" fontId="4" fillId="2" borderId="0" xfId="1" applyNumberFormat="1" applyFill="1" applyProtection="1"/>
    <xf numFmtId="169" fontId="57" fillId="14" borderId="21" xfId="0" applyNumberFormat="1" applyFont="1" applyFill="1" applyBorder="1" applyProtection="1"/>
    <xf numFmtId="169" fontId="57" fillId="13" borderId="21" xfId="0" applyNumberFormat="1" applyFont="1" applyFill="1" applyBorder="1" applyProtection="1"/>
    <xf numFmtId="169" fontId="57" fillId="8" borderId="21" xfId="0" applyNumberFormat="1" applyFont="1" applyFill="1" applyBorder="1" applyProtection="1"/>
    <xf numFmtId="0" fontId="1" fillId="19" borderId="0" xfId="1" applyFont="1" applyFill="1" applyProtection="1"/>
    <xf numFmtId="169" fontId="57" fillId="14" borderId="18" xfId="0" applyNumberFormat="1" applyFont="1" applyFill="1" applyBorder="1" applyProtection="1"/>
    <xf numFmtId="169" fontId="57" fillId="13" borderId="18" xfId="0" applyNumberFormat="1" applyFont="1" applyFill="1" applyBorder="1" applyProtection="1"/>
    <xf numFmtId="169" fontId="57" fillId="8" borderId="18" xfId="0" applyNumberFormat="1" applyFont="1" applyFill="1" applyBorder="1" applyProtection="1"/>
    <xf numFmtId="169" fontId="57" fillId="14" borderId="22" xfId="0" applyNumberFormat="1" applyFont="1" applyFill="1" applyBorder="1" applyProtection="1"/>
    <xf numFmtId="169" fontId="57" fillId="13" borderId="22" xfId="0" applyNumberFormat="1" applyFont="1" applyFill="1" applyBorder="1" applyProtection="1"/>
    <xf numFmtId="169" fontId="57" fillId="8" borderId="22" xfId="0" applyNumberFormat="1" applyFont="1" applyFill="1" applyBorder="1" applyProtection="1"/>
    <xf numFmtId="169" fontId="75" fillId="8" borderId="0" xfId="0" applyNumberFormat="1" applyFont="1" applyFill="1" applyAlignment="1" applyProtection="1">
      <alignment horizontal="center"/>
    </xf>
    <xf numFmtId="169" fontId="4" fillId="2" borderId="0" xfId="1" applyNumberFormat="1" applyFill="1" applyProtection="1"/>
    <xf numFmtId="0" fontId="55" fillId="2" borderId="10" xfId="1" applyFont="1" applyFill="1" applyBorder="1" applyProtection="1"/>
    <xf numFmtId="169" fontId="60" fillId="8" borderId="10" xfId="1" applyNumberFormat="1" applyFont="1" applyFill="1" applyBorder="1" applyProtection="1"/>
    <xf numFmtId="169" fontId="60" fillId="4" borderId="0" xfId="1" applyNumberFormat="1" applyFont="1" applyFill="1" applyProtection="1"/>
    <xf numFmtId="170" fontId="14" fillId="5" borderId="9" xfId="1" applyNumberFormat="1" applyFont="1" applyFill="1" applyBorder="1" applyAlignment="1" applyProtection="1">
      <alignment horizontal="right" vertical="center" wrapText="1"/>
    </xf>
    <xf numFmtId="4" fontId="14" fillId="5" borderId="21" xfId="1" applyNumberFormat="1" applyFont="1" applyFill="1" applyBorder="1" applyAlignment="1" applyProtection="1">
      <alignment horizontal="right" vertical="center" wrapText="1"/>
    </xf>
    <xf numFmtId="37" fontId="11" fillId="4" borderId="21" xfId="2" applyNumberFormat="1" applyFont="1" applyFill="1" applyBorder="1" applyAlignment="1" applyProtection="1">
      <alignment horizontal="left" vertical="center"/>
    </xf>
    <xf numFmtId="0" fontId="3" fillId="2" borderId="0" xfId="1" applyFont="1" applyFill="1" applyAlignment="1" applyProtection="1">
      <alignment horizontal="left" vertical="center"/>
      <protection locked="0"/>
    </xf>
    <xf numFmtId="0" fontId="3" fillId="2" borderId="0" xfId="1" applyFont="1" applyFill="1" applyAlignment="1" applyProtection="1">
      <alignment vertical="center"/>
      <protection locked="0"/>
    </xf>
    <xf numFmtId="0" fontId="1" fillId="2" borderId="0" xfId="1" applyFont="1" applyFill="1" applyAlignment="1" applyProtection="1">
      <alignment horizontal="left" vertical="center"/>
      <protection locked="0"/>
    </xf>
    <xf numFmtId="0" fontId="37" fillId="2" borderId="0" xfId="1" applyFont="1" applyFill="1" applyAlignment="1" applyProtection="1">
      <alignment vertical="center"/>
      <protection locked="0"/>
    </xf>
    <xf numFmtId="0" fontId="38" fillId="2" borderId="0" xfId="1" applyFont="1" applyFill="1" applyAlignment="1" applyProtection="1">
      <alignment vertical="center"/>
      <protection locked="0"/>
    </xf>
    <xf numFmtId="0" fontId="37" fillId="2" borderId="0" xfId="1" applyFont="1" applyFill="1" applyAlignment="1" applyProtection="1">
      <alignment horizontal="left" vertical="center"/>
      <protection locked="0"/>
    </xf>
    <xf numFmtId="0" fontId="37" fillId="2" borderId="0" xfId="1" applyFont="1" applyFill="1" applyAlignment="1" applyProtection="1">
      <alignment horizontal="right" vertical="center"/>
      <protection locked="0"/>
    </xf>
    <xf numFmtId="0" fontId="38" fillId="2" borderId="25" xfId="1" applyFont="1" applyFill="1" applyBorder="1" applyAlignment="1" applyProtection="1">
      <alignment vertical="center"/>
      <protection locked="0"/>
    </xf>
    <xf numFmtId="0" fontId="37" fillId="2" borderId="25" xfId="1" applyFont="1" applyFill="1" applyBorder="1" applyAlignment="1" applyProtection="1">
      <alignment vertical="center"/>
      <protection locked="0"/>
    </xf>
    <xf numFmtId="0" fontId="37" fillId="2" borderId="25" xfId="1" applyFont="1" applyFill="1" applyBorder="1" applyAlignment="1" applyProtection="1">
      <alignment horizontal="right" vertical="center"/>
      <protection locked="0"/>
    </xf>
    <xf numFmtId="0" fontId="1" fillId="2" borderId="25" xfId="1" applyFont="1" applyFill="1" applyBorder="1" applyAlignment="1" applyProtection="1">
      <alignment vertical="center"/>
      <protection locked="0"/>
    </xf>
    <xf numFmtId="37" fontId="46" fillId="10" borderId="25" xfId="2" applyNumberFormat="1" applyFont="1" applyFill="1" applyBorder="1" applyAlignment="1" applyProtection="1">
      <alignment horizontal="center" vertical="center"/>
      <protection locked="0"/>
    </xf>
    <xf numFmtId="0" fontId="39" fillId="6" borderId="16" xfId="1" applyFont="1" applyFill="1" applyBorder="1" applyAlignment="1" applyProtection="1">
      <alignment horizontal="left" vertical="center" wrapText="1"/>
      <protection locked="0"/>
    </xf>
    <xf numFmtId="0" fontId="39" fillId="6" borderId="16" xfId="1" applyFont="1" applyFill="1" applyBorder="1" applyAlignment="1" applyProtection="1">
      <alignment vertical="center"/>
      <protection locked="0"/>
    </xf>
    <xf numFmtId="0" fontId="13" fillId="6" borderId="16" xfId="1" applyFont="1" applyFill="1" applyBorder="1" applyAlignment="1" applyProtection="1">
      <alignment vertical="center"/>
      <protection locked="0"/>
    </xf>
    <xf numFmtId="0" fontId="39" fillId="6" borderId="16" xfId="1" applyFont="1" applyFill="1" applyBorder="1" applyAlignment="1" applyProtection="1">
      <alignment horizontal="center" vertical="center"/>
      <protection locked="0"/>
    </xf>
    <xf numFmtId="0" fontId="40" fillId="2" borderId="0" xfId="1" applyFont="1" applyFill="1" applyAlignment="1" applyProtection="1">
      <alignment horizontal="left" vertical="center"/>
      <protection locked="0"/>
    </xf>
    <xf numFmtId="0" fontId="40" fillId="2" borderId="0" xfId="1" applyFont="1" applyFill="1" applyAlignment="1" applyProtection="1">
      <alignment vertical="center"/>
      <protection locked="0"/>
    </xf>
    <xf numFmtId="3" fontId="40" fillId="2" borderId="0" xfId="1" applyNumberFormat="1" applyFont="1" applyFill="1" applyAlignment="1" applyProtection="1">
      <alignment vertical="center"/>
      <protection locked="0"/>
    </xf>
    <xf numFmtId="0" fontId="61" fillId="2" borderId="0" xfId="1" applyFont="1" applyFill="1" applyProtection="1">
      <protection locked="0"/>
    </xf>
    <xf numFmtId="0" fontId="6" fillId="2" borderId="0" xfId="1" applyFont="1" applyFill="1" applyProtection="1">
      <protection locked="0"/>
    </xf>
    <xf numFmtId="0" fontId="91" fillId="12" borderId="2" xfId="1" applyFont="1" applyFill="1" applyBorder="1" applyAlignment="1" applyProtection="1">
      <alignment vertical="center"/>
      <protection locked="0"/>
    </xf>
    <xf numFmtId="0" fontId="41" fillId="12" borderId="2" xfId="1" applyFont="1" applyFill="1" applyBorder="1" applyAlignment="1" applyProtection="1">
      <alignment vertical="center"/>
      <protection locked="0"/>
    </xf>
    <xf numFmtId="3" fontId="41" fillId="12" borderId="2" xfId="1" applyNumberFormat="1" applyFont="1" applyFill="1" applyBorder="1" applyAlignment="1" applyProtection="1">
      <alignment vertical="center"/>
      <protection locked="0"/>
    </xf>
    <xf numFmtId="0" fontId="41" fillId="2" borderId="0" xfId="1" applyFont="1" applyFill="1" applyAlignment="1" applyProtection="1">
      <alignment vertical="center"/>
      <protection locked="0"/>
    </xf>
    <xf numFmtId="3" fontId="41" fillId="2" borderId="0" xfId="1" applyNumberFormat="1" applyFont="1" applyFill="1" applyAlignment="1" applyProtection="1">
      <alignment vertical="center"/>
      <protection locked="0"/>
    </xf>
    <xf numFmtId="37" fontId="41" fillId="2" borderId="0" xfId="1" applyNumberFormat="1" applyFont="1" applyFill="1" applyAlignment="1" applyProtection="1">
      <alignment vertical="center"/>
      <protection locked="0"/>
    </xf>
    <xf numFmtId="0" fontId="39" fillId="6" borderId="1" xfId="1" applyFont="1" applyFill="1" applyBorder="1" applyAlignment="1" applyProtection="1">
      <alignment horizontal="left" vertical="center" wrapText="1"/>
      <protection locked="0"/>
    </xf>
    <xf numFmtId="0" fontId="39" fillId="6" borderId="1" xfId="1" applyFont="1" applyFill="1" applyBorder="1" applyAlignment="1" applyProtection="1">
      <alignment vertical="center"/>
      <protection locked="0"/>
    </xf>
    <xf numFmtId="0" fontId="39" fillId="6" borderId="1" xfId="1" applyFont="1" applyFill="1" applyBorder="1" applyAlignment="1" applyProtection="1">
      <alignment horizontal="center" vertical="center"/>
      <protection locked="0"/>
    </xf>
    <xf numFmtId="0" fontId="41" fillId="4" borderId="8" xfId="1" applyFont="1" applyFill="1" applyBorder="1" applyAlignment="1" applyProtection="1">
      <alignment vertical="center"/>
      <protection locked="0"/>
    </xf>
    <xf numFmtId="3" fontId="41" fillId="4" borderId="8" xfId="1" applyNumberFormat="1" applyFont="1" applyFill="1" applyBorder="1" applyAlignment="1" applyProtection="1">
      <alignment vertical="center"/>
      <protection locked="0"/>
    </xf>
    <xf numFmtId="0" fontId="39" fillId="6" borderId="1" xfId="1" applyFont="1" applyFill="1" applyBorder="1" applyAlignment="1" applyProtection="1">
      <alignment horizontal="center" vertical="center" wrapText="1"/>
      <protection locked="0"/>
    </xf>
    <xf numFmtId="3" fontId="42" fillId="4" borderId="0" xfId="1" applyNumberFormat="1" applyFont="1" applyFill="1" applyAlignment="1" applyProtection="1">
      <alignment horizontal="left" vertical="center" wrapText="1"/>
      <protection locked="0"/>
    </xf>
    <xf numFmtId="3" fontId="42" fillId="4" borderId="0" xfId="1" applyNumberFormat="1" applyFont="1" applyFill="1" applyAlignment="1" applyProtection="1">
      <alignment horizontal="center" vertical="center" wrapText="1"/>
      <protection locked="0"/>
    </xf>
    <xf numFmtId="3" fontId="42" fillId="4" borderId="0" xfId="2" applyNumberFormat="1" applyFont="1" applyFill="1" applyBorder="1" applyAlignment="1" applyProtection="1">
      <alignment vertical="center"/>
      <protection locked="0"/>
    </xf>
    <xf numFmtId="3" fontId="54" fillId="12" borderId="15" xfId="1" applyNumberFormat="1" applyFont="1" applyFill="1" applyBorder="1" applyAlignment="1" applyProtection="1">
      <alignment horizontal="left" vertical="center" wrapText="1"/>
      <protection locked="0"/>
    </xf>
    <xf numFmtId="0" fontId="41" fillId="12" borderId="15" xfId="1" applyFont="1" applyFill="1" applyBorder="1" applyAlignment="1" applyProtection="1">
      <alignment horizontal="right" vertical="center"/>
      <protection locked="0"/>
    </xf>
    <xf numFmtId="3" fontId="41" fillId="12" borderId="15" xfId="1" applyNumberFormat="1" applyFont="1" applyFill="1" applyBorder="1" applyAlignment="1" applyProtection="1">
      <alignment horizontal="right" vertical="center"/>
      <protection locked="0"/>
    </xf>
    <xf numFmtId="3" fontId="38" fillId="12" borderId="15" xfId="2" applyNumberFormat="1" applyFont="1" applyFill="1" applyBorder="1" applyAlignment="1" applyProtection="1">
      <alignment vertical="center"/>
      <protection locked="0"/>
    </xf>
    <xf numFmtId="3" fontId="54" fillId="12" borderId="2" xfId="1" applyNumberFormat="1" applyFont="1" applyFill="1" applyBorder="1" applyAlignment="1" applyProtection="1">
      <alignment horizontal="left" vertical="center" wrapText="1"/>
      <protection locked="0"/>
    </xf>
    <xf numFmtId="0" fontId="41" fillId="12" borderId="2" xfId="1" applyFont="1" applyFill="1" applyBorder="1" applyAlignment="1" applyProtection="1">
      <alignment horizontal="right" vertical="center"/>
      <protection locked="0"/>
    </xf>
    <xf numFmtId="3" fontId="41" fillId="12" borderId="2" xfId="1" applyNumberFormat="1" applyFont="1" applyFill="1" applyBorder="1" applyAlignment="1" applyProtection="1">
      <alignment horizontal="right" vertical="center"/>
      <protection locked="0"/>
    </xf>
    <xf numFmtId="3" fontId="38" fillId="12" borderId="2" xfId="2" applyNumberFormat="1" applyFont="1" applyFill="1" applyBorder="1" applyAlignment="1" applyProtection="1">
      <alignment vertical="center"/>
      <protection locked="0"/>
    </xf>
    <xf numFmtId="3" fontId="38" fillId="4" borderId="8" xfId="1" applyNumberFormat="1" applyFont="1" applyFill="1" applyBorder="1" applyAlignment="1" applyProtection="1">
      <alignment horizontal="left" vertical="center" wrapText="1"/>
      <protection locked="0"/>
    </xf>
    <xf numFmtId="3" fontId="38" fillId="4" borderId="8" xfId="1" applyNumberFormat="1" applyFont="1" applyFill="1" applyBorder="1" applyAlignment="1" applyProtection="1">
      <alignment horizontal="center" vertical="center" wrapText="1"/>
      <protection locked="0"/>
    </xf>
    <xf numFmtId="0" fontId="41" fillId="4" borderId="8" xfId="1" applyFont="1" applyFill="1" applyBorder="1" applyAlignment="1" applyProtection="1">
      <alignment horizontal="right" vertical="center"/>
      <protection locked="0"/>
    </xf>
    <xf numFmtId="3" fontId="41" fillId="4" borderId="8" xfId="1" applyNumberFormat="1" applyFont="1" applyFill="1" applyBorder="1" applyAlignment="1" applyProtection="1">
      <alignment horizontal="right" vertical="center"/>
      <protection locked="0"/>
    </xf>
    <xf numFmtId="3" fontId="38" fillId="4" borderId="8" xfId="2" applyNumberFormat="1" applyFont="1" applyFill="1" applyBorder="1" applyAlignment="1" applyProtection="1">
      <alignment vertical="center"/>
      <protection locked="0"/>
    </xf>
    <xf numFmtId="171" fontId="41" fillId="4" borderId="8" xfId="4" applyNumberFormat="1" applyFont="1" applyFill="1" applyBorder="1" applyAlignment="1" applyProtection="1">
      <alignment horizontal="right" vertical="center"/>
      <protection locked="0"/>
    </xf>
    <xf numFmtId="0" fontId="2" fillId="2" borderId="0" xfId="1" applyFont="1" applyFill="1" applyAlignment="1" applyProtection="1">
      <alignment vertical="center"/>
      <protection locked="0"/>
    </xf>
    <xf numFmtId="0" fontId="3" fillId="2" borderId="0" xfId="1" applyFont="1" applyFill="1" applyAlignment="1" applyProtection="1">
      <alignment vertical="center"/>
    </xf>
    <xf numFmtId="0" fontId="43" fillId="2" borderId="0" xfId="1" applyFont="1" applyFill="1" applyAlignment="1" applyProtection="1">
      <alignment vertical="center"/>
    </xf>
    <xf numFmtId="0" fontId="40" fillId="2" borderId="0" xfId="1" applyFont="1" applyFill="1" applyAlignment="1" applyProtection="1">
      <alignment vertical="center"/>
    </xf>
    <xf numFmtId="0" fontId="61" fillId="2" borderId="0" xfId="1" applyFont="1" applyFill="1" applyAlignment="1" applyProtection="1">
      <alignment vertical="center"/>
    </xf>
    <xf numFmtId="0" fontId="61" fillId="2" borderId="0" xfId="1" applyFont="1" applyFill="1" applyProtection="1"/>
    <xf numFmtId="0" fontId="61" fillId="4" borderId="0" xfId="1" applyFont="1" applyFill="1" applyAlignment="1" applyProtection="1">
      <alignment vertical="center"/>
    </xf>
    <xf numFmtId="0" fontId="44" fillId="4" borderId="0" xfId="1" applyFont="1" applyFill="1" applyAlignment="1" applyProtection="1">
      <alignment vertical="center"/>
    </xf>
    <xf numFmtId="0" fontId="43" fillId="15" borderId="0" xfId="1" applyFont="1" applyFill="1" applyAlignment="1" applyProtection="1">
      <alignment vertical="center"/>
    </xf>
    <xf numFmtId="0" fontId="44" fillId="15" borderId="0" xfId="1" applyFont="1" applyFill="1" applyAlignment="1" applyProtection="1">
      <alignment vertical="center"/>
    </xf>
    <xf numFmtId="0" fontId="2" fillId="2" borderId="0" xfId="1" applyFont="1" applyFill="1" applyAlignment="1" applyProtection="1">
      <alignment vertical="center"/>
    </xf>
    <xf numFmtId="0" fontId="43" fillId="8" borderId="0" xfId="1" applyFont="1" applyFill="1" applyProtection="1"/>
    <xf numFmtId="0" fontId="43" fillId="4" borderId="0" xfId="1" applyFont="1" applyFill="1" applyAlignment="1" applyProtection="1">
      <alignment vertical="center"/>
    </xf>
    <xf numFmtId="0" fontId="44" fillId="2" borderId="0" xfId="1" applyFont="1" applyFill="1" applyAlignment="1" applyProtection="1">
      <alignment vertical="center"/>
    </xf>
    <xf numFmtId="0" fontId="43" fillId="0" borderId="0" xfId="1" applyFont="1" applyAlignment="1" applyProtection="1">
      <alignment vertical="center"/>
    </xf>
    <xf numFmtId="0" fontId="43" fillId="0" borderId="0" xfId="1" applyFont="1" applyProtection="1"/>
    <xf numFmtId="0" fontId="44" fillId="0" borderId="0" xfId="1" applyFont="1" applyAlignment="1" applyProtection="1">
      <alignment vertical="center"/>
    </xf>
    <xf numFmtId="0" fontId="44" fillId="0" borderId="0" xfId="1" applyFont="1" applyProtection="1"/>
    <xf numFmtId="0" fontId="32" fillId="0" borderId="0" xfId="1" applyFont="1" applyAlignment="1" applyProtection="1">
      <alignment vertical="center"/>
    </xf>
    <xf numFmtId="0" fontId="32" fillId="4" borderId="0" xfId="1" applyFont="1" applyFill="1" applyAlignment="1" applyProtection="1">
      <alignment vertical="center"/>
    </xf>
    <xf numFmtId="0" fontId="44" fillId="20" borderId="0" xfId="1" applyFont="1" applyFill="1" applyAlignment="1" applyProtection="1">
      <alignment vertical="center"/>
    </xf>
    <xf numFmtId="37" fontId="32" fillId="4" borderId="0" xfId="1" applyNumberFormat="1" applyFont="1" applyFill="1" applyAlignment="1" applyProtection="1">
      <alignment vertical="center"/>
    </xf>
    <xf numFmtId="9" fontId="47" fillId="2" borderId="25" xfId="14" applyFont="1" applyFill="1" applyBorder="1" applyAlignment="1" applyProtection="1">
      <alignment vertical="center"/>
    </xf>
    <xf numFmtId="37" fontId="40" fillId="2" borderId="0" xfId="1" applyNumberFormat="1" applyFont="1" applyFill="1" applyAlignment="1" applyProtection="1">
      <alignment vertical="center"/>
    </xf>
    <xf numFmtId="37" fontId="41" fillId="12" borderId="2" xfId="1" applyNumberFormat="1" applyFont="1" applyFill="1" applyBorder="1" applyAlignment="1" applyProtection="1">
      <alignment vertical="center"/>
    </xf>
    <xf numFmtId="37" fontId="41" fillId="2" borderId="0" xfId="1" applyNumberFormat="1" applyFont="1" applyFill="1" applyAlignment="1" applyProtection="1">
      <alignment vertical="center"/>
    </xf>
    <xf numFmtId="0" fontId="39" fillId="6" borderId="1" xfId="1" applyFont="1" applyFill="1" applyBorder="1" applyAlignment="1" applyProtection="1">
      <alignment horizontal="center" vertical="center"/>
    </xf>
    <xf numFmtId="37" fontId="41" fillId="4" borderId="8" xfId="1" applyNumberFormat="1" applyFont="1" applyFill="1" applyBorder="1" applyAlignment="1" applyProtection="1">
      <alignment vertical="center"/>
    </xf>
    <xf numFmtId="3" fontId="40" fillId="4" borderId="0" xfId="1" applyNumberFormat="1" applyFont="1" applyFill="1" applyAlignment="1" applyProtection="1">
      <alignment horizontal="center" vertical="center"/>
    </xf>
    <xf numFmtId="3" fontId="42" fillId="4" borderId="0" xfId="2" applyNumberFormat="1" applyFont="1" applyFill="1" applyBorder="1" applyAlignment="1" applyProtection="1">
      <alignment horizontal="center" vertical="center"/>
    </xf>
    <xf numFmtId="0" fontId="40" fillId="2" borderId="0" xfId="1" applyFont="1" applyFill="1" applyAlignment="1" applyProtection="1">
      <alignment horizontal="center" vertical="center"/>
    </xf>
    <xf numFmtId="0" fontId="39" fillId="22" borderId="16" xfId="1" applyFont="1" applyFill="1" applyBorder="1" applyAlignment="1" applyProtection="1">
      <alignment vertical="center"/>
    </xf>
    <xf numFmtId="0" fontId="41" fillId="22" borderId="16" xfId="1" applyFont="1" applyFill="1" applyBorder="1" applyAlignment="1" applyProtection="1">
      <alignment vertical="center"/>
    </xf>
    <xf numFmtId="0" fontId="40" fillId="22" borderId="16" xfId="1" applyFont="1" applyFill="1" applyBorder="1" applyAlignment="1" applyProtection="1">
      <alignment vertical="center"/>
    </xf>
    <xf numFmtId="174" fontId="41" fillId="22" borderId="16" xfId="1" applyNumberFormat="1" applyFont="1" applyFill="1" applyBorder="1" applyAlignment="1" applyProtection="1">
      <alignment horizontal="center" vertical="center"/>
    </xf>
    <xf numFmtId="0" fontId="41" fillId="22" borderId="16" xfId="1" applyFont="1" applyFill="1" applyBorder="1" applyAlignment="1" applyProtection="1">
      <alignment horizontal="center" vertical="center"/>
    </xf>
    <xf numFmtId="3" fontId="13" fillId="7" borderId="3" xfId="1" applyNumberFormat="1" applyFont="1" applyFill="1" applyBorder="1" applyAlignment="1" applyProtection="1">
      <alignment horizontal="left" vertical="center"/>
    </xf>
    <xf numFmtId="0" fontId="39" fillId="7" borderId="3" xfId="1" applyFont="1" applyFill="1" applyBorder="1" applyAlignment="1" applyProtection="1">
      <alignment vertical="center"/>
    </xf>
    <xf numFmtId="37" fontId="39" fillId="7" borderId="3" xfId="1" applyNumberFormat="1" applyFont="1" applyFill="1" applyBorder="1" applyAlignment="1" applyProtection="1">
      <alignment horizontal="right" vertical="center"/>
    </xf>
    <xf numFmtId="3" fontId="42" fillId="3" borderId="0" xfId="1" applyNumberFormat="1" applyFont="1" applyFill="1" applyAlignment="1" applyProtection="1">
      <alignment horizontal="left" vertical="center"/>
    </xf>
    <xf numFmtId="3" fontId="42" fillId="3" borderId="0" xfId="1" applyNumberFormat="1" applyFont="1" applyFill="1" applyAlignment="1" applyProtection="1">
      <alignment vertical="center"/>
    </xf>
    <xf numFmtId="37" fontId="42" fillId="3" borderId="0" xfId="2" applyNumberFormat="1" applyFont="1" applyFill="1" applyAlignment="1" applyProtection="1">
      <alignment horizontal="right" vertical="center"/>
    </xf>
    <xf numFmtId="37" fontId="54" fillId="3" borderId="0" xfId="2" applyNumberFormat="1" applyFont="1" applyFill="1" applyAlignment="1" applyProtection="1">
      <alignment horizontal="right" vertical="center"/>
    </xf>
    <xf numFmtId="3" fontId="42" fillId="3" borderId="4" xfId="1" applyNumberFormat="1" applyFont="1" applyFill="1" applyBorder="1" applyAlignment="1" applyProtection="1">
      <alignment horizontal="left" vertical="center"/>
    </xf>
    <xf numFmtId="3" fontId="13" fillId="7" borderId="0" xfId="1" applyNumberFormat="1" applyFont="1" applyFill="1" applyAlignment="1" applyProtection="1">
      <alignment horizontal="left" vertical="center"/>
    </xf>
    <xf numFmtId="0" fontId="39" fillId="7" borderId="32" xfId="1" applyFont="1" applyFill="1" applyBorder="1" applyAlignment="1" applyProtection="1">
      <alignment vertical="center"/>
    </xf>
    <xf numFmtId="37" fontId="39" fillId="7" borderId="32" xfId="1" applyNumberFormat="1" applyFont="1" applyFill="1" applyBorder="1" applyAlignment="1" applyProtection="1">
      <alignment horizontal="right" vertical="center"/>
    </xf>
    <xf numFmtId="3" fontId="42" fillId="2" borderId="0" xfId="1" applyNumberFormat="1" applyFont="1" applyFill="1" applyAlignment="1" applyProtection="1">
      <alignment horizontal="left" vertical="center"/>
    </xf>
    <xf numFmtId="3" fontId="42" fillId="2" borderId="0" xfId="1" applyNumberFormat="1" applyFont="1" applyFill="1" applyAlignment="1" applyProtection="1">
      <alignment vertical="center"/>
    </xf>
    <xf numFmtId="37" fontId="42" fillId="4" borderId="0" xfId="2" applyNumberFormat="1" applyFont="1" applyFill="1" applyAlignment="1" applyProtection="1">
      <alignment horizontal="right" vertical="center"/>
    </xf>
    <xf numFmtId="37" fontId="54" fillId="2" borderId="0" xfId="2" applyNumberFormat="1" applyFont="1" applyFill="1" applyAlignment="1" applyProtection="1">
      <alignment horizontal="right" vertical="center"/>
    </xf>
    <xf numFmtId="3" fontId="40" fillId="2" borderId="0" xfId="1" applyNumberFormat="1" applyFont="1" applyFill="1" applyAlignment="1" applyProtection="1">
      <alignment horizontal="left" vertical="center"/>
    </xf>
    <xf numFmtId="0" fontId="42" fillId="3" borderId="0" xfId="1" applyFont="1" applyFill="1" applyAlignment="1" applyProtection="1">
      <alignment vertical="center"/>
    </xf>
    <xf numFmtId="37" fontId="42" fillId="2" borderId="0" xfId="2" applyNumberFormat="1" applyFont="1" applyFill="1" applyAlignment="1" applyProtection="1">
      <alignment horizontal="right" vertical="center"/>
    </xf>
    <xf numFmtId="0" fontId="40" fillId="0" borderId="0" xfId="0" applyFont="1" applyProtection="1"/>
    <xf numFmtId="3" fontId="40" fillId="2" borderId="0" xfId="1" applyNumberFormat="1" applyFont="1" applyFill="1" applyAlignment="1" applyProtection="1">
      <alignment vertical="center"/>
    </xf>
    <xf numFmtId="3" fontId="69" fillId="3" borderId="0" xfId="1" applyNumberFormat="1" applyFont="1" applyFill="1" applyAlignment="1" applyProtection="1">
      <alignment horizontal="left" vertical="center"/>
    </xf>
    <xf numFmtId="0" fontId="69" fillId="3" borderId="0" xfId="1" applyFont="1" applyFill="1" applyAlignment="1" applyProtection="1">
      <alignment vertical="center"/>
    </xf>
    <xf numFmtId="37" fontId="69" fillId="3" borderId="0" xfId="2" applyNumberFormat="1" applyFont="1" applyFill="1" applyAlignment="1" applyProtection="1">
      <alignment horizontal="right" vertical="center"/>
    </xf>
    <xf numFmtId="3" fontId="67" fillId="2" borderId="0" xfId="1" applyNumberFormat="1" applyFont="1" applyFill="1" applyAlignment="1" applyProtection="1">
      <alignment vertical="center"/>
    </xf>
    <xf numFmtId="3" fontId="13" fillId="7" borderId="5" xfId="1" applyNumberFormat="1" applyFont="1" applyFill="1" applyBorder="1" applyAlignment="1" applyProtection="1">
      <alignment horizontal="left" vertical="center"/>
    </xf>
    <xf numFmtId="0" fontId="39" fillId="7" borderId="5" xfId="1" applyFont="1" applyFill="1" applyBorder="1" applyAlignment="1" applyProtection="1">
      <alignment vertical="center"/>
    </xf>
    <xf numFmtId="37" fontId="39" fillId="7" borderId="5" xfId="1" applyNumberFormat="1" applyFont="1" applyFill="1" applyBorder="1" applyAlignment="1" applyProtection="1">
      <alignment horizontal="right" vertical="center"/>
    </xf>
    <xf numFmtId="37" fontId="54" fillId="3" borderId="0" xfId="1" applyNumberFormat="1" applyFont="1" applyFill="1" applyAlignment="1" applyProtection="1">
      <alignment horizontal="right" vertical="center"/>
    </xf>
    <xf numFmtId="0" fontId="42" fillId="3" borderId="0" xfId="1" applyFont="1" applyFill="1" applyAlignment="1" applyProtection="1">
      <alignment vertical="center" wrapText="1"/>
    </xf>
    <xf numFmtId="0" fontId="40" fillId="3" borderId="0" xfId="1" applyFont="1" applyFill="1" applyAlignment="1" applyProtection="1">
      <alignment vertical="center"/>
    </xf>
    <xf numFmtId="0" fontId="42" fillId="4" borderId="0" xfId="1" applyFont="1" applyFill="1" applyAlignment="1" applyProtection="1">
      <alignment vertical="center"/>
    </xf>
    <xf numFmtId="37" fontId="54" fillId="4" borderId="0" xfId="2" applyNumberFormat="1" applyFont="1" applyFill="1" applyAlignment="1" applyProtection="1">
      <alignment horizontal="right" vertical="center"/>
    </xf>
    <xf numFmtId="3" fontId="42" fillId="4" borderId="0" xfId="1" applyNumberFormat="1" applyFont="1" applyFill="1" applyAlignment="1" applyProtection="1">
      <alignment horizontal="left" vertical="center"/>
    </xf>
    <xf numFmtId="37" fontId="69" fillId="2" borderId="0" xfId="2" applyNumberFormat="1" applyFont="1" applyFill="1" applyAlignment="1" applyProtection="1">
      <alignment horizontal="right" vertical="center"/>
    </xf>
    <xf numFmtId="0" fontId="40" fillId="4" borderId="0" xfId="1" applyFont="1" applyFill="1" applyAlignment="1" applyProtection="1">
      <alignment vertical="center"/>
    </xf>
    <xf numFmtId="37" fontId="17" fillId="2" borderId="0" xfId="1" applyNumberFormat="1" applyFont="1" applyFill="1" applyProtection="1"/>
    <xf numFmtId="0" fontId="67" fillId="3" borderId="0" xfId="1" applyFont="1" applyFill="1" applyAlignment="1" applyProtection="1">
      <alignment vertical="center"/>
    </xf>
    <xf numFmtId="3" fontId="69" fillId="4" borderId="0" xfId="1" applyNumberFormat="1" applyFont="1" applyFill="1" applyAlignment="1" applyProtection="1">
      <alignment horizontal="left" vertical="center"/>
    </xf>
    <xf numFmtId="0" fontId="69" fillId="4" borderId="0" xfId="1" applyFont="1" applyFill="1" applyAlignment="1" applyProtection="1">
      <alignment vertical="center"/>
    </xf>
    <xf numFmtId="3" fontId="42" fillId="4" borderId="0" xfId="1" applyNumberFormat="1" applyFont="1" applyFill="1" applyAlignment="1" applyProtection="1">
      <alignment vertical="center"/>
    </xf>
    <xf numFmtId="37" fontId="54" fillId="4" borderId="0" xfId="1" applyNumberFormat="1" applyFont="1" applyFill="1" applyAlignment="1" applyProtection="1">
      <alignment horizontal="right" vertical="center"/>
    </xf>
    <xf numFmtId="3" fontId="69" fillId="3" borderId="0" xfId="1" applyNumberFormat="1" applyFont="1" applyFill="1" applyAlignment="1" applyProtection="1">
      <alignment vertical="center"/>
    </xf>
    <xf numFmtId="3" fontId="69" fillId="3" borderId="0" xfId="1" applyNumberFormat="1" applyFont="1" applyFill="1" applyAlignment="1" applyProtection="1">
      <alignment vertical="center" wrapText="1"/>
    </xf>
    <xf numFmtId="3" fontId="69" fillId="4" borderId="0" xfId="1" applyNumberFormat="1" applyFont="1" applyFill="1" applyAlignment="1" applyProtection="1">
      <alignment vertical="center"/>
    </xf>
    <xf numFmtId="37" fontId="69" fillId="4" borderId="0" xfId="2" applyNumberFormat="1" applyFont="1" applyFill="1" applyAlignment="1" applyProtection="1">
      <alignment horizontal="right" vertical="center"/>
    </xf>
    <xf numFmtId="0" fontId="39" fillId="7" borderId="5" xfId="1" applyFont="1" applyFill="1" applyBorder="1" applyAlignment="1" applyProtection="1">
      <alignment vertical="center" wrapText="1"/>
    </xf>
    <xf numFmtId="0" fontId="41" fillId="4" borderId="2" xfId="1" applyFont="1" applyFill="1" applyBorder="1" applyAlignment="1" applyProtection="1">
      <alignment vertical="center"/>
    </xf>
    <xf numFmtId="37" fontId="41" fillId="4" borderId="2" xfId="1" applyNumberFormat="1" applyFont="1" applyFill="1" applyBorder="1" applyAlignment="1" applyProtection="1">
      <alignment horizontal="right" vertical="center"/>
    </xf>
    <xf numFmtId="0" fontId="40" fillId="4" borderId="8" xfId="1" applyFont="1" applyFill="1" applyBorder="1" applyAlignment="1" applyProtection="1">
      <alignment vertical="center"/>
    </xf>
    <xf numFmtId="3" fontId="40" fillId="4" borderId="8" xfId="1" applyNumberFormat="1" applyFont="1" applyFill="1" applyBorder="1" applyAlignment="1" applyProtection="1">
      <alignment horizontal="left" vertical="center" wrapText="1"/>
    </xf>
    <xf numFmtId="37" fontId="40" fillId="4" borderId="8" xfId="1" applyNumberFormat="1" applyFont="1" applyFill="1" applyBorder="1" applyAlignment="1" applyProtection="1">
      <alignment vertical="center"/>
    </xf>
    <xf numFmtId="0" fontId="40" fillId="4" borderId="9" xfId="1" applyFont="1" applyFill="1" applyBorder="1" applyAlignment="1" applyProtection="1">
      <alignment vertical="center"/>
    </xf>
    <xf numFmtId="3" fontId="40" fillId="4" borderId="9" xfId="1" applyNumberFormat="1" applyFont="1" applyFill="1" applyBorder="1" applyAlignment="1" applyProtection="1">
      <alignment horizontal="left" vertical="center" wrapText="1"/>
    </xf>
    <xf numFmtId="37" fontId="40" fillId="4" borderId="9" xfId="1" applyNumberFormat="1" applyFont="1" applyFill="1" applyBorder="1" applyAlignment="1" applyProtection="1">
      <alignment vertical="center"/>
    </xf>
    <xf numFmtId="37" fontId="41" fillId="4" borderId="9" xfId="1" applyNumberFormat="1" applyFont="1" applyFill="1" applyBorder="1" applyAlignment="1" applyProtection="1">
      <alignment vertical="center"/>
    </xf>
    <xf numFmtId="3" fontId="40" fillId="4" borderId="0" xfId="1" applyNumberFormat="1" applyFont="1" applyFill="1" applyAlignment="1" applyProtection="1">
      <alignment horizontal="left" vertical="center" wrapText="1"/>
    </xf>
    <xf numFmtId="37" fontId="40" fillId="4" borderId="0" xfId="1" applyNumberFormat="1" applyFont="1" applyFill="1" applyAlignment="1" applyProtection="1">
      <alignment vertical="center"/>
    </xf>
    <xf numFmtId="37" fontId="41" fillId="4" borderId="0" xfId="1" applyNumberFormat="1" applyFont="1" applyFill="1" applyAlignment="1" applyProtection="1">
      <alignment vertical="center"/>
    </xf>
    <xf numFmtId="0" fontId="41" fillId="21" borderId="19" xfId="1" applyFont="1" applyFill="1" applyBorder="1" applyAlignment="1" applyProtection="1">
      <alignment vertical="center"/>
    </xf>
    <xf numFmtId="0" fontId="40" fillId="21" borderId="19" xfId="1" applyFont="1" applyFill="1" applyBorder="1" applyAlignment="1" applyProtection="1">
      <alignment vertical="center"/>
    </xf>
    <xf numFmtId="174" fontId="41" fillId="21" borderId="19" xfId="1" applyNumberFormat="1" applyFont="1" applyFill="1" applyBorder="1" applyAlignment="1" applyProtection="1">
      <alignment horizontal="center" vertical="center"/>
    </xf>
    <xf numFmtId="0" fontId="41" fillId="21" borderId="19" xfId="1" applyFont="1" applyFill="1" applyBorder="1" applyAlignment="1" applyProtection="1">
      <alignment horizontal="center" vertical="center"/>
    </xf>
    <xf numFmtId="37" fontId="42" fillId="3" borderId="0" xfId="1" applyNumberFormat="1" applyFont="1" applyFill="1" applyAlignment="1" applyProtection="1">
      <alignment horizontal="right" vertical="center"/>
    </xf>
    <xf numFmtId="37" fontId="42" fillId="3" borderId="0" xfId="2" applyNumberFormat="1" applyFont="1" applyFill="1" applyBorder="1" applyAlignment="1" applyProtection="1">
      <alignment horizontal="right" vertical="center"/>
    </xf>
    <xf numFmtId="3" fontId="13" fillId="7" borderId="22" xfId="1" applyNumberFormat="1" applyFont="1" applyFill="1" applyBorder="1" applyAlignment="1" applyProtection="1">
      <alignment horizontal="left" vertical="center"/>
    </xf>
    <xf numFmtId="0" fontId="39" fillId="7" borderId="22" xfId="1" applyFont="1" applyFill="1" applyBorder="1" applyAlignment="1" applyProtection="1">
      <alignment vertical="center"/>
    </xf>
    <xf numFmtId="37" fontId="39" fillId="7" borderId="22" xfId="1" applyNumberFormat="1" applyFont="1" applyFill="1" applyBorder="1" applyAlignment="1" applyProtection="1">
      <alignment horizontal="right" vertical="center"/>
    </xf>
    <xf numFmtId="37" fontId="42" fillId="11" borderId="0" xfId="2" applyNumberFormat="1" applyFont="1" applyFill="1" applyAlignment="1" applyProtection="1">
      <alignment horizontal="right" vertical="center"/>
    </xf>
    <xf numFmtId="0" fontId="1" fillId="2" borderId="0" xfId="1" applyFont="1" applyFill="1" applyAlignment="1" applyProtection="1">
      <alignment horizontal="left" vertical="center"/>
    </xf>
    <xf numFmtId="37" fontId="41" fillId="4" borderId="2" xfId="1" applyNumberFormat="1" applyFont="1" applyFill="1" applyBorder="1" applyAlignment="1" applyProtection="1">
      <alignment vertical="center"/>
    </xf>
    <xf numFmtId="0" fontId="39" fillId="6" borderId="1" xfId="1" applyFont="1" applyFill="1" applyBorder="1" applyAlignment="1" applyProtection="1">
      <alignment horizontal="left" vertical="center" wrapText="1"/>
    </xf>
    <xf numFmtId="0" fontId="39" fillId="6" borderId="1" xfId="1" applyFont="1" applyFill="1" applyBorder="1" applyAlignment="1" applyProtection="1">
      <alignment vertical="center"/>
    </xf>
    <xf numFmtId="0" fontId="39" fillId="6" borderId="1" xfId="1" applyFont="1" applyFill="1" applyBorder="1" applyAlignment="1" applyProtection="1">
      <alignment horizontal="right" vertical="center"/>
    </xf>
    <xf numFmtId="3" fontId="40" fillId="2" borderId="0" xfId="1" applyNumberFormat="1" applyFont="1" applyFill="1" applyAlignment="1" applyProtection="1">
      <alignment horizontal="left" vertical="center" wrapText="1"/>
    </xf>
    <xf numFmtId="39" fontId="42" fillId="2" borderId="0" xfId="2" applyNumberFormat="1" applyFont="1" applyFill="1" applyAlignment="1" applyProtection="1">
      <alignment horizontal="right" vertical="center"/>
    </xf>
    <xf numFmtId="37" fontId="1" fillId="2" borderId="0" xfId="1" applyNumberFormat="1" applyFont="1" applyFill="1" applyAlignment="1" applyProtection="1">
      <alignment vertical="center"/>
    </xf>
    <xf numFmtId="0" fontId="3" fillId="2" borderId="0" xfId="1" applyFont="1" applyFill="1" applyAlignment="1" applyProtection="1">
      <alignment horizontal="left" vertical="center"/>
    </xf>
    <xf numFmtId="39" fontId="42" fillId="2" borderId="0" xfId="1" applyNumberFormat="1" applyFont="1" applyFill="1" applyAlignment="1" applyProtection="1">
      <alignment vertical="center"/>
    </xf>
    <xf numFmtId="0" fontId="17" fillId="2" borderId="0" xfId="1" applyFont="1" applyFill="1" applyAlignment="1" applyProtection="1">
      <alignment vertical="center"/>
    </xf>
    <xf numFmtId="0" fontId="17" fillId="4" borderId="0" xfId="1" applyFont="1" applyFill="1" applyAlignment="1" applyProtection="1">
      <alignment vertical="center"/>
    </xf>
    <xf numFmtId="0" fontId="1" fillId="4" borderId="0" xfId="1" applyFont="1" applyFill="1" applyAlignment="1" applyProtection="1">
      <alignment vertical="center"/>
    </xf>
    <xf numFmtId="0" fontId="83" fillId="0" borderId="0" xfId="0" applyFont="1" applyAlignment="1" applyProtection="1">
      <alignment vertical="center"/>
      <protection locked="0"/>
    </xf>
    <xf numFmtId="0" fontId="81" fillId="0" borderId="0" xfId="0" applyFont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Protection="1">
      <protection locked="0"/>
    </xf>
    <xf numFmtId="0" fontId="94" fillId="0" borderId="0" xfId="0" applyFont="1" applyAlignment="1" applyProtection="1">
      <alignment horizontal="left" vertical="center" wrapText="1"/>
      <protection locked="0"/>
    </xf>
    <xf numFmtId="0" fontId="83" fillId="0" borderId="0" xfId="0" applyFont="1" applyAlignment="1" applyProtection="1">
      <alignment vertical="center"/>
    </xf>
    <xf numFmtId="0" fontId="29" fillId="2" borderId="0" xfId="1" applyFont="1" applyFill="1" applyAlignment="1" applyProtection="1">
      <alignment vertical="center"/>
    </xf>
    <xf numFmtId="0" fontId="81" fillId="0" borderId="0" xfId="0" applyFont="1" applyAlignment="1" applyProtection="1">
      <alignment vertical="center"/>
    </xf>
    <xf numFmtId="0" fontId="85" fillId="0" borderId="0" xfId="0" applyFont="1" applyAlignment="1" applyProtection="1">
      <alignment vertical="center"/>
    </xf>
    <xf numFmtId="0" fontId="84" fillId="0" borderId="12" xfId="0" applyFont="1" applyBorder="1" applyAlignment="1" applyProtection="1">
      <alignment vertical="center"/>
    </xf>
    <xf numFmtId="0" fontId="84" fillId="0" borderId="11" xfId="0" applyFont="1" applyBorder="1" applyAlignment="1" applyProtection="1">
      <alignment horizontal="center" vertical="center"/>
    </xf>
    <xf numFmtId="0" fontId="84" fillId="0" borderId="11" xfId="0" applyFont="1" applyBorder="1" applyAlignment="1" applyProtection="1">
      <alignment vertical="center"/>
    </xf>
    <xf numFmtId="37" fontId="84" fillId="0" borderId="11" xfId="0" applyNumberFormat="1" applyFont="1" applyBorder="1" applyAlignment="1" applyProtection="1">
      <alignment horizontal="center" vertical="center"/>
    </xf>
    <xf numFmtId="37" fontId="82" fillId="0" borderId="11" xfId="0" applyNumberFormat="1" applyFont="1" applyBorder="1" applyAlignment="1" applyProtection="1">
      <alignment horizontal="center" vertical="center"/>
    </xf>
    <xf numFmtId="0" fontId="83" fillId="4" borderId="14" xfId="1" applyFont="1" applyFill="1" applyBorder="1" applyAlignment="1" applyProtection="1">
      <alignment vertical="center"/>
    </xf>
    <xf numFmtId="37" fontId="83" fillId="0" borderId="11" xfId="0" applyNumberFormat="1" applyFont="1" applyBorder="1" applyAlignment="1" applyProtection="1">
      <alignment horizontal="center" vertical="center"/>
    </xf>
    <xf numFmtId="37" fontId="81" fillId="0" borderId="11" xfId="0" applyNumberFormat="1" applyFont="1" applyBorder="1" applyAlignment="1" applyProtection="1">
      <alignment horizontal="center" vertical="center"/>
    </xf>
    <xf numFmtId="0" fontId="83" fillId="4" borderId="14" xfId="1" applyFont="1" applyFill="1" applyBorder="1" applyAlignment="1" applyProtection="1">
      <alignment vertical="center" wrapText="1"/>
    </xf>
    <xf numFmtId="0" fontId="84" fillId="4" borderId="14" xfId="0" applyFont="1" applyFill="1" applyBorder="1" applyAlignment="1" applyProtection="1">
      <alignment vertical="center"/>
    </xf>
    <xf numFmtId="176" fontId="84" fillId="0" borderId="11" xfId="0" applyNumberFormat="1" applyFont="1" applyBorder="1" applyAlignment="1" applyProtection="1">
      <alignment horizontal="center" vertical="center"/>
    </xf>
    <xf numFmtId="176" fontId="82" fillId="0" borderId="11" xfId="0" applyNumberFormat="1" applyFont="1" applyBorder="1" applyAlignment="1" applyProtection="1">
      <alignment horizontal="center" vertical="center"/>
    </xf>
    <xf numFmtId="170" fontId="84" fillId="0" borderId="11" xfId="18" applyNumberFormat="1" applyFont="1" applyBorder="1" applyAlignment="1" applyProtection="1">
      <alignment horizontal="center" vertical="center"/>
    </xf>
    <xf numFmtId="177" fontId="84" fillId="0" borderId="11" xfId="14" applyNumberFormat="1" applyFont="1" applyBorder="1" applyAlignment="1" applyProtection="1">
      <alignment horizontal="center" vertical="center"/>
    </xf>
    <xf numFmtId="37" fontId="84" fillId="0" borderId="11" xfId="0" applyNumberFormat="1" applyFont="1" applyBorder="1" applyAlignment="1" applyProtection="1">
      <alignment horizontal="center" vertical="center"/>
    </xf>
  </cellXfs>
  <cellStyles count="28">
    <cellStyle name="Comma 2" xfId="4" xr:uid="{00000000-0005-0000-0000-000000000000}"/>
    <cellStyle name="Currency 2" xfId="2" xr:uid="{00000000-0005-0000-0000-000001000000}"/>
    <cellStyle name="Currency 3" xfId="13" xr:uid="{00000000-0005-0000-0000-000002000000}"/>
    <cellStyle name="Currency 3 2" xfId="19" xr:uid="{AD1BA0E1-0B72-4900-B537-ACE64970A51B}"/>
    <cellStyle name="Čárka" xfId="18" builtinId="3"/>
    <cellStyle name="Čárka 2" xfId="20" xr:uid="{B067CF3A-55BF-4C8A-98FE-A629DB04B50C}"/>
    <cellStyle name="Měna 2" xfId="16" xr:uid="{00000000-0005-0000-0000-000003000000}"/>
    <cellStyle name="Měna 2 2" xfId="21" xr:uid="{3F192230-2DD7-4F7A-9AB0-6BEFA2B8570C}"/>
    <cellStyle name="měny 2 29" xfId="10" xr:uid="{00000000-0005-0000-0000-000004000000}"/>
    <cellStyle name="měny 2 29 2" xfId="22" xr:uid="{8E3F6AE7-E376-4FE1-8640-A366E53D86E1}"/>
    <cellStyle name="měny 2 31" xfId="11" xr:uid="{00000000-0005-0000-0000-000005000000}"/>
    <cellStyle name="měny 2 31 2" xfId="23" xr:uid="{5AC614DD-39E6-46C9-86DB-5DC30250AD3C}"/>
    <cellStyle name="měny 2 32" xfId="12" xr:uid="{00000000-0005-0000-0000-000006000000}"/>
    <cellStyle name="měny 2 32 2" xfId="24" xr:uid="{173B1C14-69D0-4834-B79B-94EB3EE9AA9C}"/>
    <cellStyle name="měny 2 5" xfId="8" xr:uid="{00000000-0005-0000-0000-000007000000}"/>
    <cellStyle name="měny 2 5 2" xfId="25" xr:uid="{F4C88B47-2BA8-4930-9C24-9E810A693C83}"/>
    <cellStyle name="měny 2 6" xfId="9" xr:uid="{00000000-0005-0000-0000-000008000000}"/>
    <cellStyle name="měny 2 6 2" xfId="26" xr:uid="{6E73F120-F032-4A85-B27C-092DBE2B1654}"/>
    <cellStyle name="Normal 2" xfId="1" xr:uid="{00000000-0005-0000-0000-00000A000000}"/>
    <cellStyle name="Normal 2 2" xfId="17" xr:uid="{00000000-0005-0000-0000-00000B000000}"/>
    <cellStyle name="Normal 3" xfId="3" xr:uid="{00000000-0005-0000-0000-00000C000000}"/>
    <cellStyle name="Normal 3 2" xfId="27" xr:uid="{E3E42693-6CF0-45F3-B64A-98BD8859DF6D}"/>
    <cellStyle name="normal 4" xfId="6" xr:uid="{00000000-0005-0000-0000-00000D000000}"/>
    <cellStyle name="Normální" xfId="0" builtinId="0"/>
    <cellStyle name="Normální 2" xfId="15" xr:uid="{00000000-0005-0000-0000-00000E000000}"/>
    <cellStyle name="normální 2 4" xfId="7" xr:uid="{00000000-0005-0000-0000-00000F000000}"/>
    <cellStyle name="Percent 2" xfId="5" xr:uid="{00000000-0005-0000-0000-000011000000}"/>
    <cellStyle name="Procenta" xfId="14" builtinId="5"/>
  </cellStyles>
  <dxfs count="11">
    <dxf>
      <font>
        <b/>
        <i val="0"/>
        <color rgb="FF00B050"/>
      </font>
      <fill>
        <patternFill>
          <bgColor theme="9" tint="0.59996337778862885"/>
        </patternFill>
      </fill>
    </dxf>
    <dxf>
      <font>
        <b/>
        <i val="0"/>
        <color rgb="FF00B050"/>
      </font>
      <fill>
        <patternFill>
          <bgColor theme="9" tint="0.59996337778862885"/>
        </patternFill>
      </fill>
    </dxf>
    <dxf>
      <font>
        <b/>
        <i val="0"/>
        <color auto="1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strike val="0"/>
        <color rgb="FF00B050"/>
      </font>
    </dxf>
    <dxf>
      <font>
        <b/>
        <i val="0"/>
        <color rgb="FFFF0000"/>
      </font>
    </dxf>
    <dxf>
      <font>
        <b/>
        <i val="0"/>
        <color auto="1"/>
      </font>
    </dxf>
    <dxf>
      <font>
        <b/>
        <i val="0"/>
        <strike val="0"/>
        <color rgb="FF00B050"/>
      </font>
    </dxf>
    <dxf>
      <font>
        <b/>
        <i val="0"/>
        <color rgb="FFFF0000"/>
      </font>
    </dxf>
    <dxf>
      <font>
        <b/>
        <i val="0"/>
        <color auto="1"/>
      </font>
    </dxf>
  </dxfs>
  <tableStyles count="0" defaultTableStyle="TableStyleMedium2" defaultPivotStyle="PivotStyleLight16"/>
  <colors>
    <mruColors>
      <color rgb="FFCCFFCC"/>
      <color rgb="FFFFCCFF"/>
      <color rgb="FF996633"/>
      <color rgb="FF66FFFF"/>
      <color rgb="FFCC99FF"/>
      <color rgb="FFFF66CC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cs-CZ"/>
              <a:t>Roční náklady</a:t>
            </a:r>
            <a:r>
              <a:rPr lang="en-US"/>
              <a:t> celkem</a:t>
            </a:r>
            <a:endParaRPr lang="cs-CZ"/>
          </a:p>
        </c:rich>
      </c:tx>
      <c:layout>
        <c:manualLayout>
          <c:xMode val="edge"/>
          <c:yMode val="edge"/>
          <c:x val="0.25103040244969382"/>
          <c:y val="3.2407407407407406E-2"/>
        </c:manualLayout>
      </c:layout>
      <c:overlay val="1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cs-CZ"/>
        </a:p>
      </c:txPr>
    </c:title>
    <c:autoTitleDeleted val="0"/>
    <c:plotArea>
      <c:layout>
        <c:manualLayout>
          <c:layoutTarget val="inner"/>
          <c:xMode val="edge"/>
          <c:yMode val="edge"/>
          <c:x val="0.17421633271450909"/>
          <c:y val="0.16351695233594304"/>
          <c:w val="0.60054440693427436"/>
          <c:h val="0.617580202615110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'4. Kalkulace TCO a Porovnání'!$C$7</c:f>
              <c:strCache>
                <c:ptCount val="1"/>
                <c:pt idx="0">
                  <c:v>Náklady on-premise řešení</c:v>
                </c:pt>
              </c:strCache>
            </c:strRef>
          </c:tx>
          <c:spPr>
            <a:solidFill>
              <a:srgbClr val="996633"/>
            </a:solidFill>
            <a:ln>
              <a:noFill/>
            </a:ln>
            <a:effectLst/>
          </c:spPr>
          <c:invertIfNegative val="0"/>
          <c:val>
            <c:numRef>
              <c:f>'4. Kalkulace TCO a Porovnání'!$E$141:$I$141</c:f>
              <c:numCache>
                <c:formatCode>#,##0_);\(#,##0\)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E8-4C56-9E82-DDBF121D6993}"/>
            </c:ext>
          </c:extLst>
        </c:ser>
        <c:ser>
          <c:idx val="2"/>
          <c:order val="1"/>
          <c:tx>
            <c:strRef>
              <c:f>'4. Kalkulace TCO a Porovnání'!$C$8</c:f>
              <c:strCache>
                <c:ptCount val="1"/>
                <c:pt idx="0">
                  <c:v>Náklady cloudového řešení</c:v>
                </c:pt>
              </c:strCache>
            </c:strRef>
          </c:tx>
          <c:spPr>
            <a:solidFill>
              <a:srgbClr val="66FFFF"/>
            </a:solidFill>
            <a:ln>
              <a:noFill/>
            </a:ln>
            <a:effectLst/>
          </c:spPr>
          <c:invertIfNegative val="0"/>
          <c:val>
            <c:numRef>
              <c:f>'4. Kalkulace TCO a Porovnání'!$E$223:$I$223</c:f>
              <c:numCache>
                <c:formatCode>#,##0_);\(#,##0\)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8E8-4C56-9E82-DDBF121D69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9777544"/>
        <c:axId val="150003160"/>
      </c:barChart>
      <c:catAx>
        <c:axId val="99777544"/>
        <c:scaling>
          <c:orientation val="minMax"/>
        </c:scaling>
        <c:delete val="0"/>
        <c:axPos val="b"/>
        <c:majorGridlines>
          <c:spPr>
            <a:ln w="6350" cap="flat" cmpd="sng" algn="ctr">
              <a:solidFill>
                <a:schemeClr val="tx1">
                  <a:tint val="7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Rok</a:t>
                </a:r>
              </a:p>
            </c:rich>
          </c:tx>
          <c:overlay val="0"/>
          <c:spPr>
            <a:noFill/>
            <a:ln w="25400"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cs-CZ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50003160"/>
        <c:crosses val="autoZero"/>
        <c:auto val="1"/>
        <c:lblAlgn val="ctr"/>
        <c:lblOffset val="100"/>
        <c:noMultiLvlLbl val="0"/>
      </c:catAx>
      <c:valAx>
        <c:axId val="150003160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tx1">
                  <a:tint val="7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Částka</a:t>
                </a:r>
                <a:r>
                  <a:rPr lang="cs-CZ" baseline="0"/>
                  <a:t> v Kč</a:t>
                </a:r>
                <a:r>
                  <a:rPr lang="en-US" baseline="0"/>
                  <a:t> (tis.)</a:t>
                </a:r>
                <a:endParaRPr lang="cs-CZ"/>
              </a:p>
            </c:rich>
          </c:tx>
          <c:overlay val="0"/>
          <c:spPr>
            <a:noFill/>
            <a:ln w="25400"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cs-CZ"/>
            </a:p>
          </c:txPr>
        </c:title>
        <c:numFmt formatCode="#,##0_);\(#,##0\)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9977754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7708486439195101"/>
          <c:y val="0.16319517351997667"/>
          <c:w val="0.18958377077865263"/>
          <c:h val="0.392362569262175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tx1">
          <a:tint val="75000"/>
        </a:schemeClr>
      </a:solidFill>
      <a:prstDash val="solid"/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5000000000000433" l="0.70000000000000129" r="0.70000000000000129" t="0.75000000000000433" header="0.30000000000000016" footer="0.30000000000000016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cs-CZ"/>
              <a:t>Roční náklady</a:t>
            </a:r>
            <a:r>
              <a:rPr lang="en-US"/>
              <a:t> na 1</a:t>
            </a:r>
            <a:r>
              <a:rPr lang="en-US" baseline="0"/>
              <a:t> u</a:t>
            </a:r>
            <a:r>
              <a:rPr lang="cs-CZ" baseline="0"/>
              <a:t>živatele</a:t>
            </a:r>
            <a:endParaRPr lang="cs-CZ"/>
          </a:p>
        </c:rich>
      </c:tx>
      <c:layout>
        <c:manualLayout>
          <c:xMode val="edge"/>
          <c:yMode val="edge"/>
          <c:x val="0.25103040244969382"/>
          <c:y val="3.2407407407407406E-2"/>
        </c:manualLayout>
      </c:layout>
      <c:overlay val="1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421633271450909"/>
          <c:y val="0.16351695233594304"/>
          <c:w val="0.60054440693427436"/>
          <c:h val="0.617580202615110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'4. Kalkulace TCO a Porovnání'!$C$7</c:f>
              <c:strCache>
                <c:ptCount val="1"/>
                <c:pt idx="0">
                  <c:v>Náklady on-premise řešení</c:v>
                </c:pt>
              </c:strCache>
            </c:strRef>
          </c:tx>
          <c:spPr>
            <a:solidFill>
              <a:srgbClr val="996633"/>
            </a:solidFill>
          </c:spPr>
          <c:invertIfNegative val="0"/>
          <c:val>
            <c:numRef>
              <c:f>'4. Kalkulace TCO a Porovnání'!$E$142:$I$142</c:f>
              <c:numCache>
                <c:formatCode>#,##0_);\(#,##0\)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7D-477F-930C-9DE69029E4AA}"/>
            </c:ext>
          </c:extLst>
        </c:ser>
        <c:ser>
          <c:idx val="2"/>
          <c:order val="1"/>
          <c:tx>
            <c:strRef>
              <c:f>'4. Kalkulace TCO a Porovnání'!$C$8</c:f>
              <c:strCache>
                <c:ptCount val="1"/>
                <c:pt idx="0">
                  <c:v>Náklady cloudového řešení</c:v>
                </c:pt>
              </c:strCache>
            </c:strRef>
          </c:tx>
          <c:spPr>
            <a:solidFill>
              <a:srgbClr val="66FFFF"/>
            </a:solidFill>
          </c:spPr>
          <c:invertIfNegative val="0"/>
          <c:val>
            <c:numRef>
              <c:f>'4. Kalkulace TCO a Porovnání'!$E$224:$I$224</c:f>
              <c:numCache>
                <c:formatCode>#,##0_);\(#,##0\)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7D-477F-930C-9DE69029E4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0778416"/>
        <c:axId val="150233608"/>
      </c:barChart>
      <c:catAx>
        <c:axId val="150778416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Rok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crossAx val="150233608"/>
        <c:crosses val="autoZero"/>
        <c:auto val="1"/>
        <c:lblAlgn val="ctr"/>
        <c:lblOffset val="100"/>
        <c:noMultiLvlLbl val="0"/>
      </c:catAx>
      <c:valAx>
        <c:axId val="1502336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Částka</a:t>
                </a:r>
                <a:r>
                  <a:rPr lang="cs-CZ" baseline="0"/>
                  <a:t> v Kč </a:t>
                </a:r>
                <a:endParaRPr lang="cs-CZ"/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out"/>
        <c:minorTickMark val="none"/>
        <c:tickLblPos val="nextTo"/>
        <c:crossAx val="15077841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7708486439195101"/>
          <c:y val="0.16319517351997667"/>
          <c:w val="0.18958377077865263"/>
          <c:h val="0.3923625692621755"/>
        </c:manualLayout>
      </c:layout>
      <c:overlay val="0"/>
    </c:legend>
    <c:plotVisOnly val="1"/>
    <c:dispBlanksAs val="gap"/>
    <c:showDLblsOverMax val="0"/>
  </c:chart>
  <c:printSettings>
    <c:headerFooter/>
    <c:pageMargins b="0.75000000000000433" l="0.70000000000000129" r="0.70000000000000129" t="0.75000000000000433" header="0.30000000000000016" footer="0.30000000000000016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cs-CZ"/>
              <a:t>TCO</a:t>
            </a:r>
            <a:r>
              <a:rPr lang="cs-CZ" baseline="0"/>
              <a:t> za Projekt celkem</a:t>
            </a:r>
            <a:endParaRPr lang="cs-CZ"/>
          </a:p>
        </c:rich>
      </c:tx>
      <c:layout>
        <c:manualLayout>
          <c:xMode val="edge"/>
          <c:yMode val="edge"/>
          <c:x val="0.25103040244969382"/>
          <c:y val="3.2407407407407406E-2"/>
        </c:manualLayout>
      </c:layout>
      <c:overlay val="1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cs-CZ"/>
        </a:p>
      </c:txPr>
    </c:title>
    <c:autoTitleDeleted val="0"/>
    <c:plotArea>
      <c:layout>
        <c:manualLayout>
          <c:layoutTarget val="inner"/>
          <c:xMode val="edge"/>
          <c:yMode val="edge"/>
          <c:x val="0.17421633271450909"/>
          <c:y val="0.16351695233594304"/>
          <c:w val="0.60054440693427436"/>
          <c:h val="0.617580202615110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'4. Kalkulace TCO a Porovnání'!$C$7</c:f>
              <c:strCache>
                <c:ptCount val="1"/>
                <c:pt idx="0">
                  <c:v>Náklady on-premise řešení</c:v>
                </c:pt>
              </c:strCache>
            </c:strRef>
          </c:tx>
          <c:spPr>
            <a:solidFill>
              <a:srgbClr val="996633"/>
            </a:solidFill>
            <a:ln>
              <a:noFill/>
            </a:ln>
            <a:effectLst/>
          </c:spPr>
          <c:invertIfNegative val="0"/>
          <c:cat>
            <c:numRef>
              <c:f>'4. Kalkulace TCO a Porovnání'!$K$6</c:f>
              <c:numCache>
                <c:formatCode>General</c:formatCode>
                <c:ptCount val="1"/>
                <c:pt idx="0">
                  <c:v>5</c:v>
                </c:pt>
              </c:numCache>
            </c:numRef>
          </c:cat>
          <c:val>
            <c:numRef>
              <c:f>'4. Kalkulace TCO a Porovnání'!$J$141</c:f>
              <c:numCache>
                <c:formatCode>#,##0_);\(#,##0\)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DC-4C4E-A3F5-B1D0E9269A54}"/>
            </c:ext>
          </c:extLst>
        </c:ser>
        <c:ser>
          <c:idx val="2"/>
          <c:order val="1"/>
          <c:tx>
            <c:strRef>
              <c:f>'4. Kalkulace TCO a Porovnání'!$C$8</c:f>
              <c:strCache>
                <c:ptCount val="1"/>
                <c:pt idx="0">
                  <c:v>Náklady cloudového řešení</c:v>
                </c:pt>
              </c:strCache>
            </c:strRef>
          </c:tx>
          <c:spPr>
            <a:solidFill>
              <a:srgbClr val="66FFFF"/>
            </a:solidFill>
            <a:ln>
              <a:noFill/>
            </a:ln>
            <a:effectLst/>
          </c:spPr>
          <c:invertIfNegative val="0"/>
          <c:cat>
            <c:numRef>
              <c:f>'4. Kalkulace TCO a Porovnání'!$K$6</c:f>
              <c:numCache>
                <c:formatCode>General</c:formatCode>
                <c:ptCount val="1"/>
                <c:pt idx="0">
                  <c:v>5</c:v>
                </c:pt>
              </c:numCache>
            </c:numRef>
          </c:cat>
          <c:val>
            <c:numRef>
              <c:f>'4. Kalkulace TCO a Porovnání'!$J$223</c:f>
              <c:numCache>
                <c:formatCode>#,##0_);\(#,##0\)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5DC-4C4E-A3F5-B1D0E9269A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2450480"/>
        <c:axId val="152146432"/>
      </c:barChart>
      <c:catAx>
        <c:axId val="152450480"/>
        <c:scaling>
          <c:orientation val="minMax"/>
        </c:scaling>
        <c:delete val="1"/>
        <c:axPos val="b"/>
        <c:majorGridlines>
          <c:spPr>
            <a:ln w="6350" cap="flat" cmpd="sng" algn="ctr">
              <a:solidFill>
                <a:schemeClr val="tx1">
                  <a:tint val="75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crossAx val="152146432"/>
        <c:crosses val="autoZero"/>
        <c:auto val="1"/>
        <c:lblAlgn val="ctr"/>
        <c:lblOffset val="100"/>
        <c:noMultiLvlLbl val="0"/>
      </c:catAx>
      <c:valAx>
        <c:axId val="152146432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tx1">
                  <a:tint val="7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Částka</a:t>
                </a:r>
                <a:r>
                  <a:rPr lang="cs-CZ" baseline="0"/>
                  <a:t> v Kč</a:t>
                </a:r>
                <a:r>
                  <a:rPr lang="en-US" baseline="0"/>
                  <a:t> (tis.)</a:t>
                </a:r>
                <a:endParaRPr lang="cs-CZ"/>
              </a:p>
            </c:rich>
          </c:tx>
          <c:overlay val="0"/>
          <c:spPr>
            <a:noFill/>
            <a:ln w="25400"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cs-CZ"/>
            </a:p>
          </c:txPr>
        </c:title>
        <c:numFmt formatCode="#,##0_);\(#,##0\)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52450480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7708486439195101"/>
          <c:y val="0.16319517351997667"/>
          <c:w val="0.18958377077865263"/>
          <c:h val="0.392362569262175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tx1">
          <a:tint val="75000"/>
        </a:schemeClr>
      </a:solidFill>
      <a:prstDash val="solid"/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5000000000000433" l="0.70000000000000129" r="0.70000000000000129" t="0.75000000000000433" header="0.30000000000000016" footer="0.30000000000000016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cs-CZ"/>
              <a:t>TCO</a:t>
            </a:r>
            <a:r>
              <a:rPr lang="cs-CZ" baseline="0"/>
              <a:t> za Projekt na 1 uživatele</a:t>
            </a:r>
            <a:endParaRPr lang="cs-CZ"/>
          </a:p>
        </c:rich>
      </c:tx>
      <c:layout>
        <c:manualLayout>
          <c:xMode val="edge"/>
          <c:yMode val="edge"/>
          <c:x val="0.25103040244969382"/>
          <c:y val="3.2407407407407406E-2"/>
        </c:manualLayout>
      </c:layout>
      <c:overlay val="1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cs-CZ"/>
        </a:p>
      </c:txPr>
    </c:title>
    <c:autoTitleDeleted val="0"/>
    <c:plotArea>
      <c:layout>
        <c:manualLayout>
          <c:layoutTarget val="inner"/>
          <c:xMode val="edge"/>
          <c:yMode val="edge"/>
          <c:x val="0.17421633271450909"/>
          <c:y val="0.16351695233594304"/>
          <c:w val="0.60054440693427436"/>
          <c:h val="0.617580202615110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'4. Kalkulace TCO a Porovnání'!$C$7</c:f>
              <c:strCache>
                <c:ptCount val="1"/>
                <c:pt idx="0">
                  <c:v>Náklady on-premise řešení</c:v>
                </c:pt>
              </c:strCache>
            </c:strRef>
          </c:tx>
          <c:spPr>
            <a:solidFill>
              <a:srgbClr val="996633"/>
            </a:solidFill>
            <a:ln>
              <a:noFill/>
            </a:ln>
            <a:effectLst/>
          </c:spPr>
          <c:invertIfNegative val="0"/>
          <c:cat>
            <c:numRef>
              <c:f>'4. Kalkulace TCO a Porovnání'!$K$6</c:f>
              <c:numCache>
                <c:formatCode>General</c:formatCode>
                <c:ptCount val="1"/>
                <c:pt idx="0">
                  <c:v>5</c:v>
                </c:pt>
              </c:numCache>
            </c:numRef>
          </c:cat>
          <c:val>
            <c:numRef>
              <c:f>'4. Kalkulace TCO a Porovnání'!$J$142</c:f>
              <c:numCache>
                <c:formatCode>#,##0_);\(#,##0\)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02-4C17-AEDD-6BD2CE51E1E1}"/>
            </c:ext>
          </c:extLst>
        </c:ser>
        <c:ser>
          <c:idx val="2"/>
          <c:order val="1"/>
          <c:tx>
            <c:strRef>
              <c:f>'4. Kalkulace TCO a Porovnání'!$C$8</c:f>
              <c:strCache>
                <c:ptCount val="1"/>
                <c:pt idx="0">
                  <c:v>Náklady cloudového řešení</c:v>
                </c:pt>
              </c:strCache>
            </c:strRef>
          </c:tx>
          <c:spPr>
            <a:solidFill>
              <a:srgbClr val="66FFFF"/>
            </a:solidFill>
            <a:ln>
              <a:noFill/>
            </a:ln>
            <a:effectLst/>
          </c:spPr>
          <c:invertIfNegative val="0"/>
          <c:cat>
            <c:numRef>
              <c:f>'4. Kalkulace TCO a Porovnání'!$K$6</c:f>
              <c:numCache>
                <c:formatCode>General</c:formatCode>
                <c:ptCount val="1"/>
                <c:pt idx="0">
                  <c:v>5</c:v>
                </c:pt>
              </c:numCache>
            </c:numRef>
          </c:cat>
          <c:val>
            <c:numRef>
              <c:f>'4. Kalkulace TCO a Porovnání'!$J$224</c:f>
              <c:numCache>
                <c:formatCode>#,##0_);\(#,##0\)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602-4C17-AEDD-6BD2CE51E1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7017936"/>
        <c:axId val="167018320"/>
      </c:barChart>
      <c:catAx>
        <c:axId val="167017936"/>
        <c:scaling>
          <c:orientation val="minMax"/>
        </c:scaling>
        <c:delete val="1"/>
        <c:axPos val="b"/>
        <c:majorGridlines>
          <c:spPr>
            <a:ln w="6350" cap="flat" cmpd="sng" algn="ctr">
              <a:solidFill>
                <a:schemeClr val="tx1">
                  <a:tint val="75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crossAx val="167018320"/>
        <c:crosses val="autoZero"/>
        <c:auto val="1"/>
        <c:lblAlgn val="ctr"/>
        <c:lblOffset val="100"/>
        <c:noMultiLvlLbl val="0"/>
      </c:catAx>
      <c:valAx>
        <c:axId val="167018320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tx1">
                  <a:tint val="7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Částka</a:t>
                </a:r>
                <a:r>
                  <a:rPr lang="cs-CZ" baseline="0"/>
                  <a:t> v Kč </a:t>
                </a:r>
                <a:endParaRPr lang="cs-CZ"/>
              </a:p>
            </c:rich>
          </c:tx>
          <c:overlay val="0"/>
          <c:spPr>
            <a:noFill/>
            <a:ln w="25400"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cs-CZ"/>
            </a:p>
          </c:txPr>
        </c:title>
        <c:numFmt formatCode="#,##0_);\(#,##0\)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67017936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7708486439195101"/>
          <c:y val="0.16319517351997667"/>
          <c:w val="0.18958377077865263"/>
          <c:h val="0.392362569262175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tx1">
          <a:tint val="75000"/>
        </a:schemeClr>
      </a:solidFill>
      <a:prstDash val="solid"/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5000000000000433" l="0.70000000000000129" r="0.70000000000000129" t="0.75000000000000433" header="0.30000000000000016" footer="0.30000000000000016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28576</xdr:colOff>
      <xdr:row>26</xdr:row>
      <xdr:rowOff>152400</xdr:rowOff>
    </xdr:from>
    <xdr:to>
      <xdr:col>4</xdr:col>
      <xdr:colOff>161926</xdr:colOff>
      <xdr:row>26</xdr:row>
      <xdr:rowOff>2895600</xdr:rowOff>
    </xdr:to>
    <xdr:graphicFrame macro="">
      <xdr:nvGraphicFramePr>
        <xdr:cNvPr id="2" name="Chart 10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266700</xdr:colOff>
      <xdr:row>26</xdr:row>
      <xdr:rowOff>114300</xdr:rowOff>
    </xdr:from>
    <xdr:to>
      <xdr:col>9</xdr:col>
      <xdr:colOff>790575</xdr:colOff>
      <xdr:row>26</xdr:row>
      <xdr:rowOff>2857500</xdr:rowOff>
    </xdr:to>
    <xdr:graphicFrame macro="">
      <xdr:nvGraphicFramePr>
        <xdr:cNvPr id="3" name="Chart 10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19050</xdr:colOff>
      <xdr:row>23</xdr:row>
      <xdr:rowOff>95250</xdr:rowOff>
    </xdr:from>
    <xdr:to>
      <xdr:col>4</xdr:col>
      <xdr:colOff>152400</xdr:colOff>
      <xdr:row>26</xdr:row>
      <xdr:rowOff>47625</xdr:rowOff>
    </xdr:to>
    <xdr:graphicFrame macro="">
      <xdr:nvGraphicFramePr>
        <xdr:cNvPr id="4" name="Chart 10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266699</xdr:colOff>
      <xdr:row>23</xdr:row>
      <xdr:rowOff>88900</xdr:rowOff>
    </xdr:from>
    <xdr:to>
      <xdr:col>9</xdr:col>
      <xdr:colOff>781049</xdr:colOff>
      <xdr:row>26</xdr:row>
      <xdr:rowOff>41275</xdr:rowOff>
    </xdr:to>
    <xdr:graphicFrame macro="">
      <xdr:nvGraphicFramePr>
        <xdr:cNvPr id="6" name="Chart 10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pcss365.sharepoint.com/Cz50401/Projekty/MinVnitra/G-Cloud/TCO/UseCases/2017-12-15_%20eGC%20Cloud%20kalkulator_v1.1%20(dodatek%20k%20Metodice)%20IaaS%20verze%20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.Úvodní parametry"/>
      <sheetName val="2. Vstupní data on-premise "/>
      <sheetName val="tabulky"/>
      <sheetName val="3. Vstupní data cloud"/>
      <sheetName val="4. Výsledky porovnání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rgb="FFFFFF00"/>
    <pageSetUpPr fitToPage="1"/>
  </sheetPr>
  <dimension ref="A1:N77"/>
  <sheetViews>
    <sheetView topLeftCell="B1" zoomScaleNormal="100" zoomScaleSheetLayoutView="120" workbookViewId="0">
      <selection activeCell="D10" sqref="D10"/>
    </sheetView>
  </sheetViews>
  <sheetFormatPr defaultColWidth="9" defaultRowHeight="14.4" outlineLevelCol="1" x14ac:dyDescent="0.3"/>
  <cols>
    <col min="1" max="1" width="1.5" style="52" customWidth="1"/>
    <col min="2" max="2" width="39.5" style="23" customWidth="1"/>
    <col min="3" max="3" width="13" style="23" customWidth="1"/>
    <col min="4" max="5" width="11.59765625" style="23" customWidth="1"/>
    <col min="6" max="6" width="44" style="23" customWidth="1"/>
    <col min="7" max="7" width="2.3984375" style="113" customWidth="1"/>
    <col min="8" max="8" width="9" style="113" hidden="1" customWidth="1" outlineLevel="1"/>
    <col min="9" max="9" width="21.59765625" style="113" hidden="1" customWidth="1" outlineLevel="1"/>
    <col min="10" max="10" width="15.296875" style="113" hidden="1" customWidth="1" outlineLevel="1"/>
    <col min="11" max="11" width="9" style="114" collapsed="1"/>
    <col min="12" max="14" width="9" style="14"/>
    <col min="15" max="16384" width="9" style="1"/>
  </cols>
  <sheetData>
    <row r="1" spans="2:11" ht="60.75" customHeight="1" x14ac:dyDescent="0.3">
      <c r="B1" s="128" t="s">
        <v>669</v>
      </c>
      <c r="C1" s="129"/>
      <c r="D1" s="129"/>
      <c r="E1" s="129"/>
      <c r="F1" s="130" t="s">
        <v>668</v>
      </c>
    </row>
    <row r="2" spans="2:11" ht="28.5" customHeight="1" thickBot="1" x14ac:dyDescent="0.35">
      <c r="B2" s="109" t="s">
        <v>0</v>
      </c>
      <c r="C2" s="24"/>
      <c r="D2" s="25"/>
      <c r="F2" s="108"/>
      <c r="H2" s="115" t="s">
        <v>1</v>
      </c>
      <c r="I2" s="115"/>
      <c r="J2" s="115"/>
      <c r="K2" s="116"/>
    </row>
    <row r="3" spans="2:11" ht="40.950000000000003" customHeight="1" thickTop="1" thickBot="1" x14ac:dyDescent="0.35">
      <c r="B3" s="59" t="s">
        <v>2</v>
      </c>
      <c r="C3" s="59"/>
      <c r="D3" s="92" t="s">
        <v>43</v>
      </c>
      <c r="E3" s="111" t="s">
        <v>4</v>
      </c>
      <c r="F3" s="111"/>
    </row>
    <row r="4" spans="2:11" ht="15.6" thickTop="1" thickBot="1" x14ac:dyDescent="0.35">
      <c r="B4" s="59" t="s">
        <v>5</v>
      </c>
      <c r="C4" s="59"/>
      <c r="D4" s="74">
        <v>0.21</v>
      </c>
      <c r="E4" s="64"/>
      <c r="F4" s="64"/>
    </row>
    <row r="5" spans="2:11" ht="15.6" thickTop="1" thickBot="1" x14ac:dyDescent="0.35">
      <c r="B5" s="58"/>
      <c r="C5" s="58"/>
      <c r="D5" s="25"/>
    </row>
    <row r="6" spans="2:11" ht="15" thickBot="1" x14ac:dyDescent="0.35">
      <c r="B6" s="2" t="s">
        <v>6</v>
      </c>
      <c r="C6" s="2"/>
      <c r="D6" s="15"/>
      <c r="E6" s="15"/>
      <c r="F6" s="15"/>
    </row>
    <row r="7" spans="2:11" ht="24.6" customHeight="1" thickTop="1" thickBot="1" x14ac:dyDescent="0.35">
      <c r="B7" s="70" t="s">
        <v>7</v>
      </c>
      <c r="C7" s="70"/>
      <c r="D7" s="75">
        <v>5</v>
      </c>
      <c r="E7" s="68" t="s">
        <v>8</v>
      </c>
      <c r="F7" s="69"/>
      <c r="I7" s="113" t="str">
        <f>IF(DelkaProjektu=1,"rok",IF(DelkaProjektu=5,"let","roky"))</f>
        <v>let</v>
      </c>
    </row>
    <row r="8" spans="2:11" ht="15" thickTop="1" x14ac:dyDescent="0.3">
      <c r="B8" s="58"/>
      <c r="C8" s="58"/>
      <c r="D8" s="25"/>
    </row>
    <row r="9" spans="2:11" ht="28.8" x14ac:dyDescent="0.3">
      <c r="B9" s="65"/>
      <c r="C9" s="65"/>
      <c r="D9" s="54" t="s">
        <v>9</v>
      </c>
      <c r="E9" s="94"/>
      <c r="F9" s="94"/>
    </row>
    <row r="10" spans="2:11" ht="41.4" customHeight="1" thickBot="1" x14ac:dyDescent="0.35">
      <c r="B10" s="66" t="s">
        <v>10</v>
      </c>
      <c r="C10" s="66"/>
      <c r="D10" s="77" t="s">
        <v>11</v>
      </c>
      <c r="E10" s="112" t="s">
        <v>702</v>
      </c>
      <c r="F10" s="112"/>
    </row>
    <row r="11" spans="2:11" ht="15" thickTop="1" x14ac:dyDescent="0.3">
      <c r="B11" s="58"/>
      <c r="C11" s="58"/>
      <c r="D11" s="25"/>
    </row>
    <row r="12" spans="2:11" ht="29.4" x14ac:dyDescent="0.3">
      <c r="B12" s="65"/>
      <c r="C12" s="65"/>
      <c r="D12" s="95" t="s">
        <v>12</v>
      </c>
      <c r="E12" s="94"/>
      <c r="F12" s="94"/>
      <c r="I12" s="117" t="s">
        <v>13</v>
      </c>
      <c r="J12" s="117"/>
    </row>
    <row r="13" spans="2:11" ht="46.5" customHeight="1" thickBot="1" x14ac:dyDescent="0.35">
      <c r="B13" s="66" t="s">
        <v>14</v>
      </c>
      <c r="C13" s="66"/>
      <c r="D13" s="76" t="s">
        <v>11</v>
      </c>
      <c r="E13" s="112" t="s">
        <v>703</v>
      </c>
      <c r="F13" s="112"/>
    </row>
    <row r="14" spans="2:11" ht="15.6" thickTop="1" thickBot="1" x14ac:dyDescent="0.35">
      <c r="B14" s="58"/>
      <c r="C14" s="24"/>
      <c r="D14" s="25"/>
    </row>
    <row r="15" spans="2:11" ht="15" thickBot="1" x14ac:dyDescent="0.35">
      <c r="B15" s="2" t="s">
        <v>16</v>
      </c>
      <c r="C15" s="15" t="s">
        <v>17</v>
      </c>
      <c r="D15" s="15" t="s">
        <v>18</v>
      </c>
      <c r="E15" s="15" t="s">
        <v>19</v>
      </c>
      <c r="F15" s="15"/>
    </row>
    <row r="16" spans="2:11" x14ac:dyDescent="0.3">
      <c r="B16" s="26" t="s">
        <v>20</v>
      </c>
      <c r="C16" s="27"/>
      <c r="D16" s="28"/>
      <c r="E16" s="29"/>
      <c r="F16" s="29"/>
    </row>
    <row r="17" spans="2:6" x14ac:dyDescent="0.3">
      <c r="B17" s="30" t="s">
        <v>21</v>
      </c>
      <c r="C17" s="31"/>
      <c r="D17" s="28"/>
      <c r="E17" s="29"/>
      <c r="F17" s="29"/>
    </row>
    <row r="18" spans="2:6" x14ac:dyDescent="0.3">
      <c r="B18" s="9" t="s">
        <v>22</v>
      </c>
      <c r="C18" s="32"/>
      <c r="D18" s="13" t="s">
        <v>15</v>
      </c>
      <c r="E18" s="33" t="s">
        <v>23</v>
      </c>
      <c r="F18" s="33"/>
    </row>
    <row r="19" spans="2:6" x14ac:dyDescent="0.3">
      <c r="B19" s="9" t="s">
        <v>24</v>
      </c>
      <c r="C19" s="32" t="s">
        <v>25</v>
      </c>
      <c r="D19" s="73">
        <v>1728</v>
      </c>
      <c r="E19" s="33" t="s">
        <v>26</v>
      </c>
      <c r="F19" s="33"/>
    </row>
    <row r="20" spans="2:6" x14ac:dyDescent="0.3">
      <c r="B20" s="11" t="s">
        <v>27</v>
      </c>
      <c r="C20" s="34"/>
      <c r="D20" s="35" t="s">
        <v>28</v>
      </c>
      <c r="E20" s="43"/>
      <c r="F20" s="43"/>
    </row>
    <row r="21" spans="2:6" ht="15" thickBot="1" x14ac:dyDescent="0.35">
      <c r="B21" s="9"/>
      <c r="C21" s="24"/>
      <c r="D21" s="25"/>
    </row>
    <row r="22" spans="2:6" ht="15" thickBot="1" x14ac:dyDescent="0.35">
      <c r="B22" s="2" t="s">
        <v>29</v>
      </c>
      <c r="C22" s="15"/>
      <c r="D22" s="15" t="s">
        <v>30</v>
      </c>
      <c r="E22" s="15" t="s">
        <v>19</v>
      </c>
      <c r="F22" s="15"/>
    </row>
    <row r="23" spans="2:6" x14ac:dyDescent="0.3">
      <c r="B23" s="9" t="s">
        <v>31</v>
      </c>
      <c r="C23" s="87"/>
      <c r="D23" s="126" t="s">
        <v>32</v>
      </c>
      <c r="E23" s="33"/>
      <c r="F23" s="33"/>
    </row>
    <row r="24" spans="2:6" x14ac:dyDescent="0.3">
      <c r="B24" s="9" t="s">
        <v>30</v>
      </c>
      <c r="C24" s="87"/>
      <c r="D24" s="126" t="str">
        <f>_xlfn.CONCAT(JenotkaMěny,"/rok")</f>
        <v>Kč/rok</v>
      </c>
      <c r="E24" s="33"/>
      <c r="F24" s="33"/>
    </row>
    <row r="25" spans="2:6" x14ac:dyDescent="0.3">
      <c r="B25" s="9" t="s">
        <v>30</v>
      </c>
      <c r="C25" s="87"/>
      <c r="D25" s="126" t="str">
        <f>_xlfn.CONCAT(JenotkaMěny,"/hodinu")</f>
        <v>Kč/hodinu</v>
      </c>
      <c r="E25" s="33"/>
      <c r="F25" s="33"/>
    </row>
    <row r="26" spans="2:6" x14ac:dyDescent="0.3">
      <c r="B26" s="9" t="s">
        <v>30</v>
      </c>
      <c r="C26" s="87"/>
      <c r="D26" s="126" t="s">
        <v>33</v>
      </c>
      <c r="E26" s="33"/>
      <c r="F26" s="33"/>
    </row>
    <row r="27" spans="2:6" x14ac:dyDescent="0.3">
      <c r="B27" s="9" t="s">
        <v>30</v>
      </c>
      <c r="C27" s="87"/>
      <c r="D27" s="126" t="str">
        <f>_xlfn.CONCAT(JenotkaMěny,"/měsíc")</f>
        <v>Kč/měsíc</v>
      </c>
      <c r="E27" s="33"/>
      <c r="F27" s="33"/>
    </row>
    <row r="28" spans="2:6" x14ac:dyDescent="0.3">
      <c r="B28" s="9" t="s">
        <v>30</v>
      </c>
      <c r="C28" s="87"/>
      <c r="D28" s="126" t="str">
        <f>_xlfn.CONCAT(JenotkaMěny,"/1kWh")</f>
        <v>Kč/1kWh</v>
      </c>
      <c r="E28" s="33"/>
      <c r="F28" s="33"/>
    </row>
    <row r="29" spans="2:6" x14ac:dyDescent="0.3">
      <c r="B29" s="9" t="s">
        <v>30</v>
      </c>
      <c r="C29" s="87"/>
      <c r="D29" s="126" t="str">
        <f>_xlfn.CONCAT(JenotkaMěny,"/infrastruktura/rok")</f>
        <v>Kč/infrastruktura/rok</v>
      </c>
      <c r="E29" s="33"/>
      <c r="F29" s="33"/>
    </row>
    <row r="30" spans="2:6" x14ac:dyDescent="0.3">
      <c r="B30" s="9" t="s">
        <v>30</v>
      </c>
      <c r="C30" s="87"/>
      <c r="D30" s="126" t="str">
        <f>_xlfn.CONCAT(JenotkaMěny,"/platforma/rok")</f>
        <v>Kč/platforma/rok</v>
      </c>
      <c r="E30" s="33"/>
      <c r="F30" s="33"/>
    </row>
    <row r="31" spans="2:6" x14ac:dyDescent="0.3">
      <c r="B31" s="9" t="s">
        <v>30</v>
      </c>
      <c r="C31" s="87"/>
      <c r="D31" s="126" t="str">
        <f>_xlfn.CONCAT(JenotkaMěny,"/software/rok")</f>
        <v>Kč/software/rok</v>
      </c>
      <c r="E31" s="33"/>
      <c r="F31" s="33"/>
    </row>
    <row r="32" spans="2:6" x14ac:dyDescent="0.3">
      <c r="B32" s="9" t="s">
        <v>30</v>
      </c>
      <c r="C32" s="87"/>
      <c r="D32" s="126" t="str">
        <f>_xlfn.CONCAT(JenotkaMěny," - jednorázově")</f>
        <v>Kč - jednorázově</v>
      </c>
      <c r="E32" s="33"/>
      <c r="F32" s="33"/>
    </row>
    <row r="33" spans="2:10" x14ac:dyDescent="0.3">
      <c r="B33" s="9" t="s">
        <v>30</v>
      </c>
      <c r="C33" s="87"/>
      <c r="D33" s="126" t="s">
        <v>34</v>
      </c>
      <c r="E33" s="33"/>
      <c r="F33" s="33"/>
    </row>
    <row r="34" spans="2:10" x14ac:dyDescent="0.3">
      <c r="B34" s="9" t="s">
        <v>30</v>
      </c>
      <c r="C34" s="87"/>
      <c r="D34" s="126" t="s">
        <v>35</v>
      </c>
      <c r="E34" s="33"/>
      <c r="F34" s="33"/>
    </row>
    <row r="35" spans="2:10" x14ac:dyDescent="0.3">
      <c r="B35" s="9" t="s">
        <v>30</v>
      </c>
      <c r="C35" s="87"/>
      <c r="D35" s="126" t="s">
        <v>36</v>
      </c>
      <c r="E35" s="33"/>
      <c r="F35" s="33"/>
    </row>
    <row r="36" spans="2:10" x14ac:dyDescent="0.3">
      <c r="B36" s="9" t="s">
        <v>30</v>
      </c>
      <c r="C36" s="87"/>
      <c r="D36" s="126" t="s">
        <v>673</v>
      </c>
      <c r="E36" s="33"/>
      <c r="F36" s="33"/>
    </row>
    <row r="37" spans="2:10" x14ac:dyDescent="0.3">
      <c r="B37" s="9" t="s">
        <v>30</v>
      </c>
      <c r="C37" s="87"/>
      <c r="D37" s="126" t="s">
        <v>675</v>
      </c>
      <c r="E37" s="33"/>
      <c r="F37" s="33"/>
    </row>
    <row r="38" spans="2:10" x14ac:dyDescent="0.3">
      <c r="B38" s="9" t="s">
        <v>30</v>
      </c>
      <c r="C38" s="87"/>
      <c r="D38" s="126" t="s">
        <v>674</v>
      </c>
      <c r="E38" s="33"/>
      <c r="F38" s="33"/>
    </row>
    <row r="39" spans="2:10" x14ac:dyDescent="0.3">
      <c r="B39" s="67" t="s">
        <v>30</v>
      </c>
      <c r="C39" s="89"/>
      <c r="D39" s="127" t="s">
        <v>37</v>
      </c>
      <c r="E39" s="55"/>
      <c r="F39" s="55"/>
    </row>
    <row r="40" spans="2:10" ht="15" thickBot="1" x14ac:dyDescent="0.35"/>
    <row r="41" spans="2:10" ht="15" thickBot="1" x14ac:dyDescent="0.35">
      <c r="B41" s="2" t="s">
        <v>38</v>
      </c>
      <c r="C41" s="16"/>
      <c r="D41" s="17"/>
      <c r="E41" s="17"/>
      <c r="F41" s="15"/>
      <c r="I41" s="118" t="s">
        <v>39</v>
      </c>
      <c r="J41" s="118"/>
    </row>
    <row r="42" spans="2:10" x14ac:dyDescent="0.3">
      <c r="B42" s="10" t="s">
        <v>40</v>
      </c>
      <c r="C42" s="22" t="s">
        <v>30</v>
      </c>
      <c r="D42" s="22" t="s">
        <v>41</v>
      </c>
      <c r="E42" s="4" t="s">
        <v>42</v>
      </c>
      <c r="F42" s="3" t="s">
        <v>19</v>
      </c>
      <c r="I42" s="119" t="s">
        <v>3</v>
      </c>
      <c r="J42" s="120" t="s">
        <v>43</v>
      </c>
    </row>
    <row r="43" spans="2:10" x14ac:dyDescent="0.3">
      <c r="B43" s="19" t="s">
        <v>44</v>
      </c>
      <c r="C43" s="8" t="str">
        <f>$D$25</f>
        <v>Kč/hodinu</v>
      </c>
      <c r="D43" s="60">
        <v>1</v>
      </c>
      <c r="E43" s="82">
        <f>ROUND(SUM(E68)/FTP,0)</f>
        <v>608</v>
      </c>
      <c r="F43" s="18"/>
      <c r="I43" s="121">
        <f>HodinovaSazbaIT</f>
        <v>608</v>
      </c>
      <c r="J43" s="122">
        <f>HodinovaSazbaIT</f>
        <v>608</v>
      </c>
    </row>
    <row r="44" spans="2:10" x14ac:dyDescent="0.3">
      <c r="B44" s="19" t="s">
        <v>46</v>
      </c>
      <c r="C44" s="8" t="str">
        <f>$D$25</f>
        <v>Kč/hodinu</v>
      </c>
      <c r="D44" s="60">
        <v>2</v>
      </c>
      <c r="E44" s="82">
        <f>ROUND(SUM(E69)/FTP,0)</f>
        <v>657</v>
      </c>
      <c r="F44" s="18"/>
      <c r="I44" s="121">
        <f>HodinSazbaIT2</f>
        <v>657</v>
      </c>
      <c r="J44" s="122">
        <f>HodinSazbaIT2</f>
        <v>657</v>
      </c>
    </row>
    <row r="45" spans="2:10" ht="15" thickBot="1" x14ac:dyDescent="0.35">
      <c r="B45" s="45" t="s">
        <v>47</v>
      </c>
      <c r="C45" s="45" t="str">
        <f>$D$25</f>
        <v>Kč/hodinu</v>
      </c>
      <c r="D45" s="61">
        <v>3</v>
      </c>
      <c r="E45" s="83">
        <f>ROUND(SUM(E70)/FTP,0)</f>
        <v>709</v>
      </c>
      <c r="F45" s="50"/>
      <c r="I45" s="121">
        <f>HodinSazbaIT3</f>
        <v>709</v>
      </c>
      <c r="J45" s="122">
        <f>HodinSazbaIT3</f>
        <v>709</v>
      </c>
    </row>
    <row r="46" spans="2:10" ht="15" thickTop="1" x14ac:dyDescent="0.3">
      <c r="B46" s="39"/>
      <c r="C46" s="9"/>
      <c r="D46" s="40"/>
      <c r="E46" s="40"/>
      <c r="F46" s="44"/>
      <c r="I46" s="114" t="s">
        <v>45</v>
      </c>
    </row>
    <row r="48" spans="2:10" x14ac:dyDescent="0.3">
      <c r="B48" s="10" t="s">
        <v>48</v>
      </c>
      <c r="C48" s="22" t="s">
        <v>30</v>
      </c>
      <c r="D48" s="4"/>
      <c r="E48" s="4" t="s">
        <v>42</v>
      </c>
      <c r="F48" s="3" t="s">
        <v>19</v>
      </c>
    </row>
    <row r="49" spans="1:14" s="7" customFormat="1" x14ac:dyDescent="0.3">
      <c r="A49" s="53"/>
      <c r="B49" s="37" t="s">
        <v>49</v>
      </c>
      <c r="C49" s="5"/>
      <c r="D49" s="6"/>
      <c r="E49" s="6"/>
      <c r="F49" s="5"/>
      <c r="G49" s="123"/>
      <c r="H49" s="123"/>
      <c r="I49" s="123"/>
      <c r="J49" s="123"/>
      <c r="K49" s="124"/>
      <c r="L49" s="21"/>
      <c r="M49" s="21"/>
      <c r="N49" s="21"/>
    </row>
    <row r="50" spans="1:14" x14ac:dyDescent="0.3">
      <c r="B50" s="39" t="s">
        <v>50</v>
      </c>
      <c r="C50" s="9" t="str">
        <f>$D$27</f>
        <v>Kč/měsíc</v>
      </c>
      <c r="D50" s="40"/>
      <c r="E50" s="84">
        <v>60000</v>
      </c>
      <c r="F50" s="44"/>
    </row>
    <row r="51" spans="1:14" x14ac:dyDescent="0.3">
      <c r="B51" s="39" t="s">
        <v>51</v>
      </c>
      <c r="C51" s="9" t="str">
        <f>$D$24</f>
        <v>Kč/rok</v>
      </c>
      <c r="D51" s="40"/>
      <c r="E51" s="131">
        <f>E50*12*1.34</f>
        <v>964800</v>
      </c>
      <c r="F51" s="44" t="s">
        <v>52</v>
      </c>
    </row>
    <row r="52" spans="1:14" ht="27.6" x14ac:dyDescent="0.3">
      <c r="B52" s="39" t="s">
        <v>53</v>
      </c>
      <c r="C52" s="9" t="str">
        <f>$D$24</f>
        <v>Kč/rok</v>
      </c>
      <c r="D52" s="40"/>
      <c r="E52" s="84">
        <v>25000</v>
      </c>
      <c r="F52" s="44" t="s">
        <v>54</v>
      </c>
    </row>
    <row r="53" spans="1:14" x14ac:dyDescent="0.3">
      <c r="B53" s="39" t="s">
        <v>55</v>
      </c>
      <c r="C53" s="9" t="str">
        <f>$D$24</f>
        <v>Kč/rok</v>
      </c>
      <c r="D53" s="40"/>
      <c r="E53" s="84">
        <v>60000</v>
      </c>
      <c r="F53" s="42" t="s">
        <v>56</v>
      </c>
    </row>
    <row r="54" spans="1:14" ht="3" customHeight="1" x14ac:dyDescent="0.3">
      <c r="B54" s="39"/>
      <c r="C54" s="9"/>
      <c r="D54" s="40"/>
      <c r="E54" s="40"/>
      <c r="F54" s="42"/>
    </row>
    <row r="55" spans="1:14" x14ac:dyDescent="0.3">
      <c r="B55" s="37" t="s">
        <v>57</v>
      </c>
      <c r="C55" s="5"/>
      <c r="D55" s="6"/>
      <c r="E55" s="6"/>
      <c r="F55" s="5"/>
    </row>
    <row r="56" spans="1:14" x14ac:dyDescent="0.3">
      <c r="B56" s="39" t="s">
        <v>50</v>
      </c>
      <c r="C56" s="9" t="str">
        <f>$D$27</f>
        <v>Kč/měsíc</v>
      </c>
      <c r="D56" s="40"/>
      <c r="E56" s="78">
        <v>65000</v>
      </c>
      <c r="F56" s="44"/>
    </row>
    <row r="57" spans="1:14" x14ac:dyDescent="0.3">
      <c r="B57" s="39" t="s">
        <v>51</v>
      </c>
      <c r="C57" s="9" t="str">
        <f>$D$24</f>
        <v>Kč/rok</v>
      </c>
      <c r="D57" s="40"/>
      <c r="E57" s="36">
        <f>E56*12*1.34</f>
        <v>1045200.0000000001</v>
      </c>
      <c r="F57" s="44" t="s">
        <v>52</v>
      </c>
    </row>
    <row r="58" spans="1:14" ht="27.6" x14ac:dyDescent="0.3">
      <c r="B58" s="39" t="s">
        <v>53</v>
      </c>
      <c r="C58" s="9" t="str">
        <f>$D$24</f>
        <v>Kč/rok</v>
      </c>
      <c r="D58" s="40"/>
      <c r="E58" s="78">
        <v>30000</v>
      </c>
      <c r="F58" s="44" t="s">
        <v>54</v>
      </c>
    </row>
    <row r="59" spans="1:14" x14ac:dyDescent="0.3">
      <c r="B59" s="39" t="s">
        <v>55</v>
      </c>
      <c r="C59" s="9" t="str">
        <f>$D$24</f>
        <v>Kč/rok</v>
      </c>
      <c r="D59" s="40"/>
      <c r="E59" s="78">
        <v>60000</v>
      </c>
      <c r="F59" s="42" t="s">
        <v>56</v>
      </c>
    </row>
    <row r="60" spans="1:14" ht="3" customHeight="1" x14ac:dyDescent="0.3">
      <c r="B60" s="39"/>
      <c r="C60" s="9"/>
      <c r="D60" s="40"/>
      <c r="E60" s="40"/>
      <c r="F60" s="42"/>
    </row>
    <row r="61" spans="1:14" x14ac:dyDescent="0.3">
      <c r="B61" s="37" t="s">
        <v>58</v>
      </c>
      <c r="C61" s="5"/>
      <c r="D61" s="6"/>
      <c r="E61" s="6"/>
      <c r="F61" s="5"/>
    </row>
    <row r="62" spans="1:14" x14ac:dyDescent="0.3">
      <c r="B62" s="39" t="s">
        <v>50</v>
      </c>
      <c r="C62" s="9" t="str">
        <f>$D$27</f>
        <v>Kč/měsíc</v>
      </c>
      <c r="D62" s="40"/>
      <c r="E62" s="78">
        <v>70000</v>
      </c>
      <c r="F62" s="44"/>
    </row>
    <row r="63" spans="1:14" x14ac:dyDescent="0.3">
      <c r="B63" s="39" t="s">
        <v>51</v>
      </c>
      <c r="C63" s="9" t="str">
        <f>$D$24</f>
        <v>Kč/rok</v>
      </c>
      <c r="D63" s="40"/>
      <c r="E63" s="36">
        <f>E62*12*1.34</f>
        <v>1125600</v>
      </c>
      <c r="F63" s="44" t="s">
        <v>52</v>
      </c>
    </row>
    <row r="64" spans="1:14" ht="27.6" x14ac:dyDescent="0.3">
      <c r="B64" s="39" t="s">
        <v>53</v>
      </c>
      <c r="C64" s="9" t="str">
        <f>$D$24</f>
        <v>Kč/rok</v>
      </c>
      <c r="D64" s="40"/>
      <c r="E64" s="78">
        <v>40000</v>
      </c>
      <c r="F64" s="44" t="s">
        <v>54</v>
      </c>
    </row>
    <row r="65" spans="2:10" x14ac:dyDescent="0.3">
      <c r="B65" s="39" t="s">
        <v>55</v>
      </c>
      <c r="C65" s="9" t="str">
        <f>$D$24</f>
        <v>Kč/rok</v>
      </c>
      <c r="D65" s="40"/>
      <c r="E65" s="78">
        <v>60000</v>
      </c>
      <c r="F65" s="42" t="s">
        <v>56</v>
      </c>
    </row>
    <row r="66" spans="2:10" ht="1.5" customHeight="1" thickBot="1" x14ac:dyDescent="0.35">
      <c r="B66" s="39"/>
      <c r="C66" s="9"/>
      <c r="D66" s="40"/>
      <c r="E66" s="40"/>
      <c r="F66" s="42"/>
    </row>
    <row r="67" spans="2:10" ht="56.4" thickTop="1" thickBot="1" x14ac:dyDescent="0.35">
      <c r="B67" s="56" t="s">
        <v>59</v>
      </c>
      <c r="C67" s="12" t="s">
        <v>60</v>
      </c>
      <c r="D67" s="57"/>
      <c r="E67" s="81">
        <v>0</v>
      </c>
      <c r="F67" s="80" t="s">
        <v>61</v>
      </c>
      <c r="I67" s="125"/>
      <c r="J67" s="125"/>
    </row>
    <row r="68" spans="2:10" ht="15" thickTop="1" x14ac:dyDescent="0.3">
      <c r="B68" s="19" t="s">
        <v>62</v>
      </c>
      <c r="C68" s="8" t="s">
        <v>60</v>
      </c>
      <c r="D68" s="20"/>
      <c r="E68" s="36">
        <f>E51+E52+E53+E67</f>
        <v>1049800</v>
      </c>
      <c r="F68" s="38"/>
    </row>
    <row r="69" spans="2:10" x14ac:dyDescent="0.3">
      <c r="B69" s="19" t="s">
        <v>63</v>
      </c>
      <c r="C69" s="8" t="s">
        <v>60</v>
      </c>
      <c r="D69" s="20"/>
      <c r="E69" s="36">
        <f>E57+E58+E59+E67</f>
        <v>1135200</v>
      </c>
      <c r="F69" s="38"/>
    </row>
    <row r="70" spans="2:10" ht="15" thickBot="1" x14ac:dyDescent="0.35">
      <c r="B70" s="45" t="s">
        <v>64</v>
      </c>
      <c r="C70" s="46" t="s">
        <v>60</v>
      </c>
      <c r="D70" s="48"/>
      <c r="E70" s="47">
        <f>E63+E64+E65+E67</f>
        <v>1225600</v>
      </c>
      <c r="F70" s="49"/>
    </row>
    <row r="71" spans="2:10" ht="15" thickTop="1" x14ac:dyDescent="0.3"/>
    <row r="72" spans="2:10" x14ac:dyDescent="0.3">
      <c r="B72" s="10" t="s">
        <v>65</v>
      </c>
      <c r="C72" s="22" t="s">
        <v>30</v>
      </c>
      <c r="D72" s="4"/>
      <c r="E72" s="4" t="s">
        <v>42</v>
      </c>
      <c r="F72" s="3" t="s">
        <v>19</v>
      </c>
    </row>
    <row r="73" spans="2:10" ht="15" thickBot="1" x14ac:dyDescent="0.35">
      <c r="B73" s="45" t="s">
        <v>66</v>
      </c>
      <c r="C73" s="46" t="s">
        <v>67</v>
      </c>
      <c r="D73" s="48"/>
      <c r="E73" s="79">
        <v>1000</v>
      </c>
      <c r="F73" s="50" t="s">
        <v>68</v>
      </c>
    </row>
    <row r="74" spans="2:10" ht="15.6" thickTop="1" thickBot="1" x14ac:dyDescent="0.35">
      <c r="B74" s="39"/>
      <c r="C74" s="9"/>
      <c r="D74" s="40"/>
      <c r="E74" s="41"/>
      <c r="F74" s="42"/>
    </row>
    <row r="75" spans="2:10" ht="15" thickTop="1" x14ac:dyDescent="0.3">
      <c r="B75" s="62" t="s">
        <v>69</v>
      </c>
      <c r="C75" s="62"/>
      <c r="D75" s="62"/>
      <c r="E75" s="62"/>
      <c r="F75" s="62"/>
    </row>
    <row r="76" spans="2:10" ht="15" thickBot="1" x14ac:dyDescent="0.35">
      <c r="B76" s="63" t="s">
        <v>70</v>
      </c>
      <c r="C76" s="63"/>
      <c r="D76" s="63"/>
      <c r="E76" s="63"/>
      <c r="F76" s="63"/>
    </row>
    <row r="77" spans="2:10" ht="15" thickTop="1" x14ac:dyDescent="0.3"/>
  </sheetData>
  <sheetProtection algorithmName="SHA-512" hashValue="OoABgNc739Ceut88DpIPhEulxx9PfAH6pkNonWS1/406d6p9/R4C2VAOaW+T5Tuvv2/cdWH8h1BJ2k1biiGGyA==" saltValue="VlWTYghCM3HRlfkn23kt9Q==" spinCount="100000" sheet="1" objects="1" scenarios="1"/>
  <mergeCells count="4">
    <mergeCell ref="E3:F3"/>
    <mergeCell ref="E10:F10"/>
    <mergeCell ref="E13:F13"/>
    <mergeCell ref="I12:J12"/>
  </mergeCells>
  <dataValidations count="3">
    <dataValidation type="list" allowBlank="1" showInputMessage="1" showErrorMessage="1" sqref="D7" xr:uid="{00000000-0002-0000-0000-000000000000}">
      <formula1>DélkaProjektu</formula1>
    </dataValidation>
    <dataValidation type="list" allowBlank="1" showInputMessage="1" showErrorMessage="1" sqref="D3" xr:uid="{120ED94B-1198-4859-B61A-D04ABA796CE0}">
      <formula1>NákladyDPH</formula1>
    </dataValidation>
    <dataValidation type="list" allowBlank="1" showInputMessage="1" showErrorMessage="1" sqref="D18 D13 D10" xr:uid="{0ECE61B5-156A-4543-84BB-89E2FD1E0319}">
      <formula1>AnoNe</formula1>
    </dataValidation>
  </dataValidations>
  <printOptions horizontalCentered="1"/>
  <pageMargins left="0" right="0" top="0.74803149606299213" bottom="0.15748031496062992" header="0.19685039370078741" footer="0.11811023622047245"/>
  <pageSetup paperSize="9" scale="79" orientation="portrait" r:id="rId1"/>
  <headerFooter>
    <oddFooter>&amp;L&amp;"Calibri,Obyčejné"&amp;9Základní parametry řešení - vstupy&amp;C&amp;"Calibri,Obyčejné"&amp;9&amp;P/&amp;N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published="0">
    <tabColor theme="8" tint="0.79998168889431442"/>
  </sheetPr>
  <dimension ref="A1:J29"/>
  <sheetViews>
    <sheetView workbookViewId="0">
      <selection activeCell="E35" sqref="E35"/>
    </sheetView>
  </sheetViews>
  <sheetFormatPr defaultRowHeight="13.8" x14ac:dyDescent="0.25"/>
  <cols>
    <col min="1" max="1" width="16.8984375" customWidth="1"/>
    <col min="2" max="2" width="15.5" customWidth="1"/>
    <col min="4" max="4" width="16.19921875" customWidth="1"/>
    <col min="5" max="5" width="15.19921875" customWidth="1"/>
  </cols>
  <sheetData>
    <row r="1" spans="1:10" x14ac:dyDescent="0.25">
      <c r="A1" t="s">
        <v>15</v>
      </c>
      <c r="B1" t="s">
        <v>71</v>
      </c>
    </row>
    <row r="2" spans="1:10" x14ac:dyDescent="0.25">
      <c r="A2" t="s">
        <v>11</v>
      </c>
      <c r="B2" t="s">
        <v>72</v>
      </c>
    </row>
    <row r="7" spans="1:10" x14ac:dyDescent="0.25">
      <c r="G7">
        <v>1</v>
      </c>
    </row>
    <row r="8" spans="1:10" x14ac:dyDescent="0.25">
      <c r="C8">
        <v>1</v>
      </c>
      <c r="G8">
        <v>2</v>
      </c>
    </row>
    <row r="9" spans="1:10" x14ac:dyDescent="0.25">
      <c r="C9">
        <v>2</v>
      </c>
      <c r="G9">
        <v>3</v>
      </c>
    </row>
    <row r="10" spans="1:10" x14ac:dyDescent="0.25">
      <c r="C10">
        <v>3</v>
      </c>
    </row>
    <row r="11" spans="1:10" x14ac:dyDescent="0.25">
      <c r="C11">
        <v>4</v>
      </c>
    </row>
    <row r="12" spans="1:10" x14ac:dyDescent="0.25">
      <c r="C12">
        <v>5</v>
      </c>
      <c r="J12" s="13" t="s">
        <v>15</v>
      </c>
    </row>
    <row r="14" spans="1:10" x14ac:dyDescent="0.25">
      <c r="A14" t="s">
        <v>3</v>
      </c>
      <c r="B14" t="s">
        <v>73</v>
      </c>
    </row>
    <row r="15" spans="1:10" x14ac:dyDescent="0.25">
      <c r="A15" t="s">
        <v>43</v>
      </c>
      <c r="B15" t="s">
        <v>74</v>
      </c>
      <c r="D15" t="s">
        <v>29</v>
      </c>
      <c r="E15" s="85" t="s">
        <v>75</v>
      </c>
    </row>
    <row r="16" spans="1:10" x14ac:dyDescent="0.25">
      <c r="D16" s="91" t="s">
        <v>32</v>
      </c>
    </row>
    <row r="17" spans="1:5" x14ac:dyDescent="0.25">
      <c r="D17" s="88" t="str">
        <f>_xlfn.CONCAT(KurzCZKEUR,"/rok")</f>
        <v>Kč/rok</v>
      </c>
      <c r="E17" s="86" t="s">
        <v>76</v>
      </c>
    </row>
    <row r="18" spans="1:5" ht="14.4" x14ac:dyDescent="0.25">
      <c r="A18" s="23" t="s">
        <v>77</v>
      </c>
      <c r="D18" s="88" t="str">
        <f>_xlfn.CONCAT(KurzCZKEUR,"/hodinu")</f>
        <v>Kč/hodinu</v>
      </c>
      <c r="E18" s="86" t="s">
        <v>78</v>
      </c>
    </row>
    <row r="19" spans="1:5" ht="14.4" x14ac:dyDescent="0.25">
      <c r="A19" s="23" t="s">
        <v>79</v>
      </c>
      <c r="D19" s="88" t="s">
        <v>33</v>
      </c>
      <c r="E19" s="86" t="s">
        <v>80</v>
      </c>
    </row>
    <row r="20" spans="1:5" x14ac:dyDescent="0.25">
      <c r="D20" s="88" t="str">
        <f>_xlfn.CONCAT(KurzCZKEUR,"/měsíc")</f>
        <v>Kč/měsíc</v>
      </c>
      <c r="E20" s="86" t="s">
        <v>81</v>
      </c>
    </row>
    <row r="21" spans="1:5" x14ac:dyDescent="0.25">
      <c r="D21" s="88" t="str">
        <f>_xlfn.CONCAT(KurzCZKEUR,"/1kWh")</f>
        <v>Kč/1kWh</v>
      </c>
      <c r="E21" s="86" t="s">
        <v>82</v>
      </c>
    </row>
    <row r="22" spans="1:5" x14ac:dyDescent="0.25">
      <c r="D22" s="88" t="str">
        <f>_xlfn.CONCAT(KurzCZKEUR,"/infrastruktura/rok")</f>
        <v>Kč/infrastruktura/rok</v>
      </c>
      <c r="E22" s="86" t="s">
        <v>83</v>
      </c>
    </row>
    <row r="23" spans="1:5" x14ac:dyDescent="0.25">
      <c r="D23" s="88" t="str">
        <f>_xlfn.CONCAT(KurzCZKEUR,"/platforma/rok")</f>
        <v>Kč/platforma/rok</v>
      </c>
      <c r="E23" s="86" t="s">
        <v>84</v>
      </c>
    </row>
    <row r="24" spans="1:5" x14ac:dyDescent="0.25">
      <c r="D24" s="88" t="str">
        <f>_xlfn.CONCAT(KurzCZKEUR,"/software/rok")</f>
        <v>Kč/software/rok</v>
      </c>
      <c r="E24" s="86" t="s">
        <v>85</v>
      </c>
    </row>
    <row r="25" spans="1:5" x14ac:dyDescent="0.25">
      <c r="D25" s="88" t="str">
        <f>_xlfn.CONCAT(KurzCZKEUR," - jednorázově")</f>
        <v>Kč - jednorázově</v>
      </c>
      <c r="E25" s="86" t="s">
        <v>86</v>
      </c>
    </row>
    <row r="26" spans="1:5" x14ac:dyDescent="0.25">
      <c r="D26" s="88" t="s">
        <v>34</v>
      </c>
      <c r="E26" s="86" t="s">
        <v>34</v>
      </c>
    </row>
    <row r="27" spans="1:5" x14ac:dyDescent="0.25">
      <c r="D27" s="88" t="s">
        <v>35</v>
      </c>
      <c r="E27" s="86" t="s">
        <v>78</v>
      </c>
    </row>
    <row r="28" spans="1:5" x14ac:dyDescent="0.25">
      <c r="D28" s="88" t="s">
        <v>36</v>
      </c>
      <c r="E28" s="86"/>
    </row>
    <row r="29" spans="1:5" x14ac:dyDescent="0.25">
      <c r="D29" s="90" t="s">
        <v>37</v>
      </c>
      <c r="E29" s="86" t="s">
        <v>87</v>
      </c>
    </row>
  </sheetData>
  <dataValidations count="1">
    <dataValidation type="list" allowBlank="1" showInputMessage="1" showErrorMessage="1" sqref="J12" xr:uid="{00000000-0002-0000-0100-000000000000}">
      <formula1>AnoNe</formula1>
    </dataValidation>
  </dataValidation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published="0" codeName="Sheet5">
    <tabColor rgb="FF996633"/>
  </sheetPr>
  <dimension ref="A1:R327"/>
  <sheetViews>
    <sheetView topLeftCell="A278" zoomScale="110" zoomScaleNormal="110" zoomScaleSheetLayoutView="110" workbookViewId="0">
      <selection activeCell="G216" sqref="G216"/>
    </sheetView>
  </sheetViews>
  <sheetFormatPr defaultColWidth="7.59765625" defaultRowHeight="14.4" outlineLevelCol="1" x14ac:dyDescent="0.3"/>
  <cols>
    <col min="1" max="1" width="1.09765625" style="254" customWidth="1"/>
    <col min="2" max="2" width="40.59765625" style="254" customWidth="1"/>
    <col min="3" max="3" width="13.8984375" style="254" customWidth="1"/>
    <col min="4" max="4" width="13.09765625" style="254" customWidth="1"/>
    <col min="5" max="5" width="8.09765625" style="254" hidden="1" customWidth="1" outlineLevel="1"/>
    <col min="6" max="6" width="14.59765625" style="254" customWidth="1" collapsed="1"/>
    <col min="7" max="7" width="53.59765625" style="478" customWidth="1"/>
    <col min="8" max="8" width="2.5" style="223" customWidth="1"/>
    <col min="9" max="9" width="19.09765625" style="133" hidden="1" customWidth="1" outlineLevel="1"/>
    <col min="10" max="12" width="10.09765625" style="133" hidden="1" customWidth="1" outlineLevel="1"/>
    <col min="13" max="13" width="0.8984375" style="134" hidden="1" customWidth="1" outlineLevel="1"/>
    <col min="14" max="14" width="8.3984375" style="134" hidden="1" customWidth="1" outlineLevel="1"/>
    <col min="15" max="15" width="16.296875" style="134" hidden="1" customWidth="1" outlineLevel="1"/>
    <col min="16" max="16" width="5" style="134" hidden="1" customWidth="1" outlineLevel="1"/>
    <col min="17" max="17" width="5" style="134" customWidth="1" collapsed="1"/>
    <col min="18" max="18" width="6.59765625" style="258" customWidth="1"/>
    <col min="19" max="16384" width="7.59765625" style="259"/>
  </cols>
  <sheetData>
    <row r="1" spans="2:14" ht="18" x14ac:dyDescent="0.3">
      <c r="B1" s="255" t="s">
        <v>88</v>
      </c>
      <c r="C1" s="256"/>
      <c r="D1" s="256"/>
      <c r="E1" s="256"/>
      <c r="F1" s="256"/>
      <c r="G1" s="257"/>
      <c r="H1" s="132"/>
    </row>
    <row r="2" spans="2:14" ht="18" x14ac:dyDescent="0.3">
      <c r="B2" s="260" t="s">
        <v>89</v>
      </c>
      <c r="C2" s="255"/>
      <c r="D2" s="255"/>
      <c r="E2" s="255"/>
      <c r="F2" s="261"/>
      <c r="G2" s="257"/>
      <c r="H2" s="132"/>
      <c r="I2" s="135" t="s">
        <v>1</v>
      </c>
      <c r="J2" s="135"/>
      <c r="K2" s="135"/>
      <c r="L2" s="136"/>
      <c r="M2" s="137"/>
      <c r="N2" s="137"/>
    </row>
    <row r="3" spans="2:14" ht="6.75" customHeight="1" thickBot="1" x14ac:dyDescent="0.35">
      <c r="B3" s="262"/>
      <c r="C3" s="263"/>
      <c r="D3" s="263"/>
      <c r="E3" s="263"/>
      <c r="F3" s="263"/>
      <c r="G3" s="257"/>
      <c r="H3" s="132"/>
      <c r="L3" s="138"/>
    </row>
    <row r="4" spans="2:14" ht="30.6" thickBot="1" x14ac:dyDescent="0.35">
      <c r="B4" s="264" t="s">
        <v>90</v>
      </c>
      <c r="C4" s="265"/>
      <c r="D4" s="265"/>
      <c r="E4" s="265"/>
      <c r="F4" s="266"/>
      <c r="G4" s="267"/>
      <c r="H4" s="132"/>
      <c r="J4" s="139" t="s">
        <v>91</v>
      </c>
      <c r="K4" s="140">
        <f>'1.Úvodní parametry'!$D$4</f>
        <v>0.21</v>
      </c>
      <c r="L4" s="141" t="s">
        <v>92</v>
      </c>
      <c r="N4" s="142" t="s">
        <v>93</v>
      </c>
    </row>
    <row r="5" spans="2:14" ht="23.25" customHeight="1" x14ac:dyDescent="0.3">
      <c r="B5" s="268" t="s">
        <v>94</v>
      </c>
      <c r="C5" s="268" t="s">
        <v>30</v>
      </c>
      <c r="D5" s="269" t="s">
        <v>9</v>
      </c>
      <c r="E5" s="268"/>
      <c r="F5" s="270" t="s">
        <v>42</v>
      </c>
      <c r="G5" s="271" t="s">
        <v>19</v>
      </c>
      <c r="H5" s="132"/>
      <c r="J5" s="143" t="s">
        <v>3</v>
      </c>
      <c r="K5" s="144" t="s">
        <v>43</v>
      </c>
      <c r="L5" s="145" t="str">
        <f>'4. Kalkulace TCO a Porovnání'!$J$5</f>
        <v>v Kč včetně DPH</v>
      </c>
      <c r="N5" s="142" t="s">
        <v>93</v>
      </c>
    </row>
    <row r="6" spans="2:14" x14ac:dyDescent="0.3">
      <c r="B6" s="272" t="s">
        <v>95</v>
      </c>
      <c r="C6" s="263" t="str">
        <f>JenotkaMěny</f>
        <v>Kč</v>
      </c>
      <c r="D6" s="263"/>
      <c r="E6" s="263"/>
      <c r="F6" s="244">
        <v>0</v>
      </c>
      <c r="G6" s="273"/>
      <c r="H6" s="132"/>
      <c r="I6" s="133" t="s">
        <v>96</v>
      </c>
      <c r="J6" s="146">
        <f>IF($J$5='1.Úvodní parametry'!$D$3,'2. Vstupní data on-premise '!F6,'2. Vstupní data on-premise '!F6/(1+$K$4))</f>
        <v>0</v>
      </c>
      <c r="K6" s="147">
        <f>IF($K$5='1.Úvodní parametry'!$D$3,'2. Vstupní data on-premise '!F6,'2. Vstupní data on-premise '!F6*(1+$K$4))</f>
        <v>0</v>
      </c>
      <c r="L6" s="148">
        <f t="shared" ref="L6:L17" si="0">IF($L$166=$J$166,J6,K6)</f>
        <v>0</v>
      </c>
      <c r="N6" s="142" t="s">
        <v>93</v>
      </c>
    </row>
    <row r="7" spans="2:14" x14ac:dyDescent="0.3">
      <c r="B7" s="272" t="s">
        <v>97</v>
      </c>
      <c r="C7" s="263" t="str">
        <f>'1.Úvodní parametry'!$D$24</f>
        <v>Kč/rok</v>
      </c>
      <c r="D7" s="263"/>
      <c r="E7" s="263"/>
      <c r="F7" s="244">
        <v>0</v>
      </c>
      <c r="G7" s="273"/>
      <c r="H7" s="132"/>
      <c r="I7" s="133" t="s">
        <v>98</v>
      </c>
      <c r="J7" s="146">
        <f>IF($J$5='1.Úvodní parametry'!$D$3,'2. Vstupní data on-premise '!F7,'2. Vstupní data on-premise '!F7/(1+$K$4))</f>
        <v>0</v>
      </c>
      <c r="K7" s="147">
        <f>IF($K$5='1.Úvodní parametry'!$D$3,'2. Vstupní data on-premise '!F7,'2. Vstupní data on-premise '!F7*(1+$K$4))</f>
        <v>0</v>
      </c>
      <c r="L7" s="148">
        <f t="shared" si="0"/>
        <v>0</v>
      </c>
      <c r="N7" s="142" t="s">
        <v>93</v>
      </c>
    </row>
    <row r="8" spans="2:14" x14ac:dyDescent="0.3">
      <c r="B8" s="272" t="s">
        <v>99</v>
      </c>
      <c r="C8" s="263" t="str">
        <f>JenotkaMěny</f>
        <v>Kč</v>
      </c>
      <c r="D8" s="263"/>
      <c r="E8" s="263"/>
      <c r="F8" s="244">
        <v>0</v>
      </c>
      <c r="G8" s="273"/>
      <c r="H8" s="132"/>
      <c r="I8" s="133" t="s">
        <v>96</v>
      </c>
      <c r="J8" s="146">
        <f>IF($J$5='1.Úvodní parametry'!$D$3,'2. Vstupní data on-premise '!F8,'2. Vstupní data on-premise '!F8/(1+$K$4))</f>
        <v>0</v>
      </c>
      <c r="K8" s="147">
        <f>IF($K$5='1.Úvodní parametry'!$D$3,'2. Vstupní data on-premise '!F8,'2. Vstupní data on-premise '!F8*(1+$K$4))</f>
        <v>0</v>
      </c>
      <c r="L8" s="148">
        <f t="shared" si="0"/>
        <v>0</v>
      </c>
      <c r="N8" s="142" t="s">
        <v>93</v>
      </c>
    </row>
    <row r="9" spans="2:14" x14ac:dyDescent="0.3">
      <c r="B9" s="272" t="s">
        <v>100</v>
      </c>
      <c r="C9" s="263" t="str">
        <f>'1.Úvodní parametry'!$D$24</f>
        <v>Kč/rok</v>
      </c>
      <c r="D9" s="263"/>
      <c r="E9" s="263"/>
      <c r="F9" s="244">
        <v>0</v>
      </c>
      <c r="G9" s="273"/>
      <c r="H9" s="132"/>
      <c r="I9" s="133" t="s">
        <v>98</v>
      </c>
      <c r="J9" s="146">
        <f>IF($J$5='1.Úvodní parametry'!$D$3,'2. Vstupní data on-premise '!F9,'2. Vstupní data on-premise '!F9/(1+$K$4))</f>
        <v>0</v>
      </c>
      <c r="K9" s="147">
        <f>IF($K$5='1.Úvodní parametry'!$D$3,'2. Vstupní data on-premise '!F9,'2. Vstupní data on-premise '!F9*(1+$K$4))</f>
        <v>0</v>
      </c>
      <c r="L9" s="148">
        <f t="shared" si="0"/>
        <v>0</v>
      </c>
      <c r="N9" s="142" t="s">
        <v>93</v>
      </c>
    </row>
    <row r="10" spans="2:14" x14ac:dyDescent="0.3">
      <c r="B10" s="274" t="s">
        <v>101</v>
      </c>
      <c r="C10" s="263" t="str">
        <f>JenotkaMěny</f>
        <v>Kč</v>
      </c>
      <c r="D10" s="263"/>
      <c r="E10" s="263"/>
      <c r="F10" s="244">
        <v>0</v>
      </c>
      <c r="G10" s="275"/>
      <c r="H10" s="132"/>
      <c r="I10" s="133" t="s">
        <v>96</v>
      </c>
      <c r="J10" s="146">
        <f>IF($J$5='1.Úvodní parametry'!$D$3,'2. Vstupní data on-premise '!F10,'2. Vstupní data on-premise '!F10/(1+$K$4))</f>
        <v>0</v>
      </c>
      <c r="K10" s="147">
        <f>IF($K$5='1.Úvodní parametry'!$D$3,'2. Vstupní data on-premise '!F10,'2. Vstupní data on-premise '!F10*(1+$K$4))</f>
        <v>0</v>
      </c>
      <c r="L10" s="148">
        <f t="shared" si="0"/>
        <v>0</v>
      </c>
      <c r="N10" s="142" t="s">
        <v>93</v>
      </c>
    </row>
    <row r="11" spans="2:14" x14ac:dyDescent="0.3">
      <c r="B11" s="272" t="s">
        <v>102</v>
      </c>
      <c r="C11" s="263" t="str">
        <f>'1.Úvodní parametry'!$D$24</f>
        <v>Kč/rok</v>
      </c>
      <c r="D11" s="263"/>
      <c r="E11" s="263"/>
      <c r="F11" s="244">
        <v>0</v>
      </c>
      <c r="G11" s="275"/>
      <c r="H11" s="132"/>
      <c r="I11" s="133" t="s">
        <v>98</v>
      </c>
      <c r="J11" s="146">
        <f>IF($J$5='1.Úvodní parametry'!$D$3,'2. Vstupní data on-premise '!F11,'2. Vstupní data on-premise '!F11/(1+$K$4))</f>
        <v>0</v>
      </c>
      <c r="K11" s="147">
        <f>IF($K$5='1.Úvodní parametry'!$D$3,'2. Vstupní data on-premise '!F11,'2. Vstupní data on-premise '!F11*(1+$K$4))</f>
        <v>0</v>
      </c>
      <c r="L11" s="148">
        <f t="shared" si="0"/>
        <v>0</v>
      </c>
      <c r="N11" s="142" t="s">
        <v>93</v>
      </c>
    </row>
    <row r="12" spans="2:14" x14ac:dyDescent="0.3">
      <c r="B12" s="272" t="s">
        <v>103</v>
      </c>
      <c r="C12" s="263" t="str">
        <f>JenotkaMěny</f>
        <v>Kč</v>
      </c>
      <c r="D12" s="263"/>
      <c r="E12" s="263"/>
      <c r="F12" s="244">
        <v>0</v>
      </c>
      <c r="G12" s="273"/>
      <c r="H12" s="132"/>
      <c r="I12" s="133" t="s">
        <v>96</v>
      </c>
      <c r="J12" s="146">
        <f>IF($J$5='1.Úvodní parametry'!$D$3,'2. Vstupní data on-premise '!F12,'2. Vstupní data on-premise '!F12/(1+$K$4))</f>
        <v>0</v>
      </c>
      <c r="K12" s="147">
        <f>IF($K$5='1.Úvodní parametry'!$D$3,'2. Vstupní data on-premise '!F12,'2. Vstupní data on-premise '!F12*(1+$K$4))</f>
        <v>0</v>
      </c>
      <c r="L12" s="148">
        <f t="shared" si="0"/>
        <v>0</v>
      </c>
      <c r="N12" s="142" t="s">
        <v>93</v>
      </c>
    </row>
    <row r="13" spans="2:14" x14ac:dyDescent="0.3">
      <c r="B13" s="272" t="s">
        <v>104</v>
      </c>
      <c r="C13" s="263" t="str">
        <f>'1.Úvodní parametry'!$D$24</f>
        <v>Kč/rok</v>
      </c>
      <c r="D13" s="263"/>
      <c r="E13" s="263"/>
      <c r="F13" s="244">
        <v>0</v>
      </c>
      <c r="G13" s="275"/>
      <c r="H13" s="132"/>
      <c r="I13" s="133" t="s">
        <v>98</v>
      </c>
      <c r="J13" s="146">
        <f>IF($J$5='1.Úvodní parametry'!$D$3,'2. Vstupní data on-premise '!F13,'2. Vstupní data on-premise '!F13/(1+$K$4))</f>
        <v>0</v>
      </c>
      <c r="K13" s="147">
        <f>IF($K$5='1.Úvodní parametry'!$D$3,'2. Vstupní data on-premise '!F13,'2. Vstupní data on-premise '!F13*(1+$K$4))</f>
        <v>0</v>
      </c>
      <c r="L13" s="148">
        <f t="shared" si="0"/>
        <v>0</v>
      </c>
      <c r="N13" s="142" t="s">
        <v>93</v>
      </c>
    </row>
    <row r="14" spans="2:14" x14ac:dyDescent="0.3">
      <c r="B14" s="272" t="s">
        <v>105</v>
      </c>
      <c r="C14" s="263" t="str">
        <f>JenotkaMěny</f>
        <v>Kč</v>
      </c>
      <c r="D14" s="263"/>
      <c r="E14" s="263"/>
      <c r="F14" s="244">
        <v>0</v>
      </c>
      <c r="G14" s="273"/>
      <c r="H14" s="132"/>
      <c r="I14" s="133" t="s">
        <v>96</v>
      </c>
      <c r="J14" s="146">
        <f>IF($J$5='1.Úvodní parametry'!$D$3,'2. Vstupní data on-premise '!F14,'2. Vstupní data on-premise '!F14/(1+$K$4))</f>
        <v>0</v>
      </c>
      <c r="K14" s="147">
        <f>IF($K$5='1.Úvodní parametry'!$D$3,'2. Vstupní data on-premise '!F14,'2. Vstupní data on-premise '!F14*(1+$K$4))</f>
        <v>0</v>
      </c>
      <c r="L14" s="148">
        <f t="shared" si="0"/>
        <v>0</v>
      </c>
      <c r="N14" s="142" t="s">
        <v>93</v>
      </c>
    </row>
    <row r="15" spans="2:14" x14ac:dyDescent="0.3">
      <c r="B15" s="272" t="s">
        <v>106</v>
      </c>
      <c r="C15" s="263" t="str">
        <f>'1.Úvodní parametry'!$D$24</f>
        <v>Kč/rok</v>
      </c>
      <c r="D15" s="263"/>
      <c r="E15" s="263"/>
      <c r="F15" s="244">
        <v>0</v>
      </c>
      <c r="G15" s="273"/>
      <c r="H15" s="132"/>
      <c r="I15" s="133" t="s">
        <v>98</v>
      </c>
      <c r="J15" s="146">
        <f>IF($J$5='1.Úvodní parametry'!$D$3,'2. Vstupní data on-premise '!F15,'2. Vstupní data on-premise '!F15/(1+$K$4))</f>
        <v>0</v>
      </c>
      <c r="K15" s="147">
        <f>IF($K$5='1.Úvodní parametry'!$D$3,'2. Vstupní data on-premise '!F15,'2. Vstupní data on-premise '!F15*(1+$K$4))</f>
        <v>0</v>
      </c>
      <c r="L15" s="148">
        <f t="shared" si="0"/>
        <v>0</v>
      </c>
      <c r="N15" s="142" t="s">
        <v>93</v>
      </c>
    </row>
    <row r="16" spans="2:14" x14ac:dyDescent="0.3">
      <c r="B16" s="272" t="s">
        <v>107</v>
      </c>
      <c r="C16" s="263" t="str">
        <f>JenotkaMěny</f>
        <v>Kč</v>
      </c>
      <c r="D16" s="263"/>
      <c r="E16" s="263"/>
      <c r="F16" s="244">
        <v>0</v>
      </c>
      <c r="G16" s="273"/>
      <c r="H16" s="132"/>
      <c r="I16" s="133" t="s">
        <v>96</v>
      </c>
      <c r="J16" s="146">
        <f>IF($J$5='1.Úvodní parametry'!$D$3,'2. Vstupní data on-premise '!F16,'2. Vstupní data on-premise '!F16/(1+$K$4))</f>
        <v>0</v>
      </c>
      <c r="K16" s="147">
        <f>IF($K$5='1.Úvodní parametry'!$D$3,'2. Vstupní data on-premise '!F16,'2. Vstupní data on-premise '!F16*(1+$K$4))</f>
        <v>0</v>
      </c>
      <c r="L16" s="148">
        <f t="shared" si="0"/>
        <v>0</v>
      </c>
      <c r="N16" s="142" t="s">
        <v>93</v>
      </c>
    </row>
    <row r="17" spans="2:14" ht="15" thickBot="1" x14ac:dyDescent="0.35">
      <c r="B17" s="274" t="s">
        <v>108</v>
      </c>
      <c r="C17" s="263" t="str">
        <f>'1.Úvodní parametry'!$D$24</f>
        <v>Kč/rok</v>
      </c>
      <c r="D17" s="263"/>
      <c r="E17" s="263"/>
      <c r="F17" s="244">
        <v>0</v>
      </c>
      <c r="G17" s="275"/>
      <c r="H17" s="132"/>
      <c r="I17" s="133" t="s">
        <v>98</v>
      </c>
      <c r="J17" s="149">
        <f>IF($J$5='1.Úvodní parametry'!$D$3,'2. Vstupní data on-premise '!F17,'2. Vstupní data on-premise '!F17/(1+$K$4))</f>
        <v>0</v>
      </c>
      <c r="K17" s="150">
        <f>IF($K$5='1.Úvodní parametry'!$D$3,'2. Vstupní data on-premise '!F17,'2. Vstupní data on-premise '!F17*(1+$K$4))</f>
        <v>0</v>
      </c>
      <c r="L17" s="151">
        <f t="shared" si="0"/>
        <v>0</v>
      </c>
      <c r="N17" s="142" t="s">
        <v>93</v>
      </c>
    </row>
    <row r="18" spans="2:14" ht="15" thickTop="1" x14ac:dyDescent="0.3">
      <c r="B18" s="276" t="s">
        <v>109</v>
      </c>
      <c r="C18" s="276" t="str">
        <f>JenotkaMěny</f>
        <v>Kč</v>
      </c>
      <c r="D18" s="243" t="str">
        <f>'1.Úvodní parametry'!$D$10</f>
        <v>NE</v>
      </c>
      <c r="E18" s="479"/>
      <c r="F18" s="96">
        <f>OperacniSystem+F8+F10+WindowsSrvPoplatekRok+WindowsPoplatekRokUzivatel+F16</f>
        <v>0</v>
      </c>
      <c r="G18" s="277"/>
      <c r="H18" s="132"/>
      <c r="I18" s="152" t="s">
        <v>110</v>
      </c>
      <c r="J18" s="146">
        <f>J6+J8+J10+J12+J14+J16</f>
        <v>0</v>
      </c>
      <c r="K18" s="147">
        <f t="shared" ref="K18:L18" si="1">K6+K8+K10+K12+K14+K16</f>
        <v>0</v>
      </c>
      <c r="L18" s="148">
        <f t="shared" si="1"/>
        <v>0</v>
      </c>
      <c r="N18" s="142" t="s">
        <v>93</v>
      </c>
    </row>
    <row r="19" spans="2:14" ht="15" thickBot="1" x14ac:dyDescent="0.35">
      <c r="B19" s="278" t="s">
        <v>111</v>
      </c>
      <c r="C19" s="278" t="str">
        <f>'1.Úvodní parametry'!$D$24</f>
        <v>Kč/rok</v>
      </c>
      <c r="D19" s="278"/>
      <c r="E19" s="278"/>
      <c r="F19" s="97">
        <f>F7+F9+F11+F13+F15+F17</f>
        <v>0</v>
      </c>
      <c r="G19" s="279"/>
      <c r="H19" s="132"/>
      <c r="I19" s="152" t="s">
        <v>112</v>
      </c>
      <c r="J19" s="149">
        <f>J7+J9+J11+J13+J15+J17</f>
        <v>0</v>
      </c>
      <c r="K19" s="150">
        <f t="shared" ref="K19:L19" si="2">K7+K9+K11+K13+K15+K17</f>
        <v>0</v>
      </c>
      <c r="L19" s="151">
        <f t="shared" si="2"/>
        <v>0</v>
      </c>
      <c r="N19" s="142" t="s">
        <v>93</v>
      </c>
    </row>
    <row r="20" spans="2:14" ht="15" thickTop="1" x14ac:dyDescent="0.3">
      <c r="B20" s="256"/>
      <c r="C20" s="256"/>
      <c r="D20" s="256"/>
      <c r="E20" s="256"/>
      <c r="F20" s="280"/>
      <c r="G20" s="257"/>
      <c r="H20" s="132"/>
      <c r="N20" s="142" t="s">
        <v>93</v>
      </c>
    </row>
    <row r="21" spans="2:14" ht="23.25" customHeight="1" x14ac:dyDescent="0.3">
      <c r="B21" s="281" t="s">
        <v>113</v>
      </c>
      <c r="C21" s="281" t="s">
        <v>30</v>
      </c>
      <c r="D21" s="282" t="s">
        <v>9</v>
      </c>
      <c r="E21" s="281"/>
      <c r="F21" s="270" t="s">
        <v>42</v>
      </c>
      <c r="G21" s="283" t="s">
        <v>19</v>
      </c>
      <c r="H21" s="132"/>
      <c r="J21" s="143" t="s">
        <v>3</v>
      </c>
      <c r="K21" s="144" t="s">
        <v>43</v>
      </c>
      <c r="L21" s="145" t="str">
        <f>'4. Kalkulace TCO a Porovnání'!$J$5</f>
        <v>v Kč včetně DPH</v>
      </c>
      <c r="N21" s="142" t="s">
        <v>93</v>
      </c>
    </row>
    <row r="22" spans="2:14" x14ac:dyDescent="0.3">
      <c r="B22" s="272" t="s">
        <v>114</v>
      </c>
      <c r="C22" s="263" t="str">
        <f>JenotkaMěny</f>
        <v>Kč</v>
      </c>
      <c r="D22" s="238" t="str">
        <f>'1.Úvodní parametry'!$D$10</f>
        <v>NE</v>
      </c>
      <c r="E22" s="263"/>
      <c r="F22" s="244">
        <v>0</v>
      </c>
      <c r="G22" s="273"/>
      <c r="H22" s="132"/>
      <c r="I22" s="152" t="s">
        <v>115</v>
      </c>
      <c r="J22" s="146">
        <f>IF($J$5='1.Úvodní parametry'!$D$3,'2. Vstupní data on-premise '!F22,'2. Vstupní data on-premise '!F22/(1+$K$4))</f>
        <v>0</v>
      </c>
      <c r="K22" s="147">
        <f>IF($K$5='1.Úvodní parametry'!$D$3,'2. Vstupní data on-premise '!F22,'2. Vstupní data on-premise '!F22*(1+$K$4))</f>
        <v>0</v>
      </c>
      <c r="L22" s="148">
        <f>IF($L$166=$J$166,J22,K22)</f>
        <v>0</v>
      </c>
      <c r="N22" s="142" t="s">
        <v>93</v>
      </c>
    </row>
    <row r="23" spans="2:14" ht="15" thickBot="1" x14ac:dyDescent="0.35">
      <c r="B23" s="284" t="s">
        <v>116</v>
      </c>
      <c r="C23" s="278" t="str">
        <f>'1.Úvodní parametry'!$D$24</f>
        <v>Kč/rok</v>
      </c>
      <c r="D23" s="278"/>
      <c r="E23" s="278"/>
      <c r="F23" s="245">
        <v>0</v>
      </c>
      <c r="G23" s="279"/>
      <c r="H23" s="132"/>
      <c r="I23" s="152" t="s">
        <v>117</v>
      </c>
      <c r="J23" s="149">
        <f>IF($J$5='1.Úvodní parametry'!$D$3,'2. Vstupní data on-premise '!F23,'2. Vstupní data on-premise '!F23/(1+$K$4))</f>
        <v>0</v>
      </c>
      <c r="K23" s="150">
        <f>IF($K$5='1.Úvodní parametry'!$D$3,'2. Vstupní data on-premise '!F23,'2. Vstupní data on-premise '!F23*(1+$K$4))</f>
        <v>0</v>
      </c>
      <c r="L23" s="151">
        <f>IF($L$166=$J$166,J23,K23)</f>
        <v>0</v>
      </c>
      <c r="N23" s="142" t="s">
        <v>93</v>
      </c>
    </row>
    <row r="24" spans="2:14" ht="15" thickTop="1" x14ac:dyDescent="0.3">
      <c r="B24" s="256"/>
      <c r="C24" s="256"/>
      <c r="D24" s="256"/>
      <c r="E24" s="256"/>
      <c r="F24" s="280"/>
      <c r="G24" s="257"/>
      <c r="H24" s="132"/>
      <c r="N24" s="142" t="s">
        <v>93</v>
      </c>
    </row>
    <row r="25" spans="2:14" ht="28.8" x14ac:dyDescent="0.3">
      <c r="B25" s="281" t="s">
        <v>118</v>
      </c>
      <c r="C25" s="281" t="s">
        <v>30</v>
      </c>
      <c r="D25" s="282" t="s">
        <v>9</v>
      </c>
      <c r="E25" s="281"/>
      <c r="F25" s="270" t="s">
        <v>42</v>
      </c>
      <c r="G25" s="285" t="s">
        <v>19</v>
      </c>
      <c r="H25" s="132"/>
      <c r="J25" s="143" t="s">
        <v>3</v>
      </c>
      <c r="K25" s="144" t="s">
        <v>43</v>
      </c>
      <c r="L25" s="145" t="str">
        <f>'4. Kalkulace TCO a Porovnání'!$J$5</f>
        <v>v Kč včetně DPH</v>
      </c>
      <c r="N25" s="142" t="s">
        <v>93</v>
      </c>
    </row>
    <row r="26" spans="2:14" x14ac:dyDescent="0.3">
      <c r="B26" s="272" t="s">
        <v>119</v>
      </c>
      <c r="C26" s="263" t="str">
        <f>JenotkaMěny</f>
        <v>Kč</v>
      </c>
      <c r="D26" s="237" t="str">
        <f>'1.Úvodní parametry'!$D$10</f>
        <v>NE</v>
      </c>
      <c r="E26" s="263"/>
      <c r="F26" s="244">
        <v>0</v>
      </c>
      <c r="G26" s="273"/>
      <c r="H26" s="132"/>
      <c r="I26" s="152" t="s">
        <v>120</v>
      </c>
      <c r="J26" s="146">
        <f>IF($J$5='1.Úvodní parametry'!$D$3,'2. Vstupní data on-premise '!F26,'2. Vstupní data on-premise '!F26/(1+$K$4))</f>
        <v>0</v>
      </c>
      <c r="K26" s="147">
        <f>IF($K$5='1.Úvodní parametry'!$D$3,'2. Vstupní data on-premise '!F26,'2. Vstupní data on-premise '!F26*(1+$K$4))</f>
        <v>0</v>
      </c>
      <c r="L26" s="148">
        <f>IF($L$166=$J$166,J26,K26)</f>
        <v>0</v>
      </c>
      <c r="N26" s="142" t="s">
        <v>93</v>
      </c>
    </row>
    <row r="27" spans="2:14" ht="15" thickBot="1" x14ac:dyDescent="0.35">
      <c r="B27" s="284" t="s">
        <v>121</v>
      </c>
      <c r="C27" s="278" t="str">
        <f>'1.Úvodní parametry'!$D$24</f>
        <v>Kč/rok</v>
      </c>
      <c r="D27" s="278"/>
      <c r="E27" s="278"/>
      <c r="F27" s="245">
        <v>0</v>
      </c>
      <c r="G27" s="279"/>
      <c r="H27" s="132"/>
      <c r="I27" s="152" t="s">
        <v>122</v>
      </c>
      <c r="J27" s="149">
        <f>IF($J$5='1.Úvodní parametry'!$D$3,'2. Vstupní data on-premise '!F27,'2. Vstupní data on-premise '!F27/(1+$K$4))</f>
        <v>0</v>
      </c>
      <c r="K27" s="150">
        <f>IF($K$5='1.Úvodní parametry'!$D$3,'2. Vstupní data on-premise '!F27,'2. Vstupní data on-premise '!F27*(1+$K$4))</f>
        <v>0</v>
      </c>
      <c r="L27" s="151">
        <f>IF($L$166=$J$166,J27,K27)</f>
        <v>0</v>
      </c>
      <c r="N27" s="142" t="s">
        <v>93</v>
      </c>
    </row>
    <row r="28" spans="2:14" ht="15" thickTop="1" x14ac:dyDescent="0.3">
      <c r="B28" s="256"/>
      <c r="C28" s="256"/>
      <c r="D28" s="256"/>
      <c r="E28" s="256"/>
      <c r="F28" s="280"/>
      <c r="G28" s="257"/>
      <c r="H28" s="132"/>
      <c r="N28" s="142" t="s">
        <v>93</v>
      </c>
    </row>
    <row r="29" spans="2:14" ht="43.2" customHeight="1" x14ac:dyDescent="0.3">
      <c r="B29" s="281" t="s">
        <v>123</v>
      </c>
      <c r="C29" s="281" t="s">
        <v>30</v>
      </c>
      <c r="D29" s="282" t="s">
        <v>124</v>
      </c>
      <c r="E29" s="281"/>
      <c r="F29" s="270" t="s">
        <v>42</v>
      </c>
      <c r="G29" s="283" t="s">
        <v>19</v>
      </c>
      <c r="H29" s="132"/>
      <c r="I29" s="153"/>
      <c r="J29" s="143" t="s">
        <v>3</v>
      </c>
      <c r="K29" s="144" t="s">
        <v>43</v>
      </c>
      <c r="L29" s="145" t="str">
        <f>'4. Kalkulace TCO a Porovnání'!$J$5</f>
        <v>v Kč včetně DPH</v>
      </c>
      <c r="N29" s="142" t="s">
        <v>93</v>
      </c>
    </row>
    <row r="30" spans="2:14" x14ac:dyDescent="0.3">
      <c r="B30" s="272" t="s">
        <v>125</v>
      </c>
      <c r="C30" s="263" t="str">
        <f>JenotkaMěny</f>
        <v>Kč</v>
      </c>
      <c r="D30" s="237" t="str">
        <f>'1.Úvodní parametry'!$D$10</f>
        <v>NE</v>
      </c>
      <c r="E30" s="263"/>
      <c r="F30" s="244">
        <v>0</v>
      </c>
      <c r="G30" s="273"/>
      <c r="H30" s="132"/>
      <c r="I30" s="152" t="s">
        <v>126</v>
      </c>
      <c r="J30" s="146">
        <f>IF($J$5='1.Úvodní parametry'!$D$3,'2. Vstupní data on-premise '!F30,'2. Vstupní data on-premise '!F30/(1+$K$4))</f>
        <v>0</v>
      </c>
      <c r="K30" s="147">
        <f>IF($K$5='1.Úvodní parametry'!$D$3,'2. Vstupní data on-premise '!F30,'2. Vstupní data on-premise '!F30*(1+$K$4))</f>
        <v>0</v>
      </c>
      <c r="L30" s="148">
        <f t="shared" ref="L30:L35" si="3">IF($L$166=$J$166,J30,K30)</f>
        <v>0</v>
      </c>
      <c r="N30" s="142" t="s">
        <v>93</v>
      </c>
    </row>
    <row r="31" spans="2:14" x14ac:dyDescent="0.3">
      <c r="B31" s="272" t="s">
        <v>127</v>
      </c>
      <c r="C31" s="263" t="str">
        <f>'1.Úvodní parametry'!$D$24</f>
        <v>Kč/rok</v>
      </c>
      <c r="D31" s="263"/>
      <c r="E31" s="263"/>
      <c r="F31" s="244">
        <v>0</v>
      </c>
      <c r="G31" s="273"/>
      <c r="H31" s="132"/>
      <c r="I31" s="152" t="s">
        <v>128</v>
      </c>
      <c r="J31" s="146">
        <f>IF($J$5='1.Úvodní parametry'!$D$3,'2. Vstupní data on-premise '!F31,'2. Vstupní data on-premise '!F31/(1+$K$4))</f>
        <v>0</v>
      </c>
      <c r="K31" s="147">
        <f>IF($K$5='1.Úvodní parametry'!$D$3,'2. Vstupní data on-premise '!F31,'2. Vstupní data on-premise '!F31*(1+$K$4))</f>
        <v>0</v>
      </c>
      <c r="L31" s="148">
        <f t="shared" si="3"/>
        <v>0</v>
      </c>
      <c r="N31" s="142" t="s">
        <v>93</v>
      </c>
    </row>
    <row r="32" spans="2:14" x14ac:dyDescent="0.3">
      <c r="B32" s="272" t="s">
        <v>107</v>
      </c>
      <c r="C32" s="263" t="str">
        <f>JenotkaMěny</f>
        <v>Kč</v>
      </c>
      <c r="D32" s="237" t="str">
        <f>'1.Úvodní parametry'!$D$10</f>
        <v>NE</v>
      </c>
      <c r="E32" s="263"/>
      <c r="F32" s="244">
        <v>0</v>
      </c>
      <c r="G32" s="273"/>
      <c r="H32" s="132"/>
      <c r="I32" s="152" t="s">
        <v>126</v>
      </c>
      <c r="J32" s="146">
        <f>IF($J$5='1.Úvodní parametry'!$D$3,'2. Vstupní data on-premise '!F32,'2. Vstupní data on-premise '!F32/(1+$K$4))</f>
        <v>0</v>
      </c>
      <c r="K32" s="147">
        <f>IF($K$5='1.Úvodní parametry'!$D$3,'2. Vstupní data on-premise '!F32,'2. Vstupní data on-premise '!F32*(1+$K$4))</f>
        <v>0</v>
      </c>
      <c r="L32" s="148">
        <f t="shared" si="3"/>
        <v>0</v>
      </c>
      <c r="N32" s="142" t="s">
        <v>93</v>
      </c>
    </row>
    <row r="33" spans="2:14" x14ac:dyDescent="0.3">
      <c r="B33" s="274" t="s">
        <v>108</v>
      </c>
      <c r="C33" s="286" t="str">
        <f>'1.Úvodní parametry'!$D$24</f>
        <v>Kč/rok</v>
      </c>
      <c r="D33" s="263"/>
      <c r="E33" s="263"/>
      <c r="F33" s="246">
        <v>0</v>
      </c>
      <c r="G33" s="275"/>
      <c r="H33" s="132"/>
      <c r="I33" s="152" t="s">
        <v>128</v>
      </c>
      <c r="J33" s="146">
        <f>IF($J$5='1.Úvodní parametry'!$D$3,'2. Vstupní data on-premise '!F33,'2. Vstupní data on-premise '!F33/(1+$K$4))</f>
        <v>0</v>
      </c>
      <c r="K33" s="147">
        <f>IF($K$5='1.Úvodní parametry'!$D$3,'2. Vstupní data on-premise '!F33,'2. Vstupní data on-premise '!F33*(1+$K$4))</f>
        <v>0</v>
      </c>
      <c r="L33" s="148">
        <f t="shared" si="3"/>
        <v>0</v>
      </c>
      <c r="N33" s="142" t="s">
        <v>93</v>
      </c>
    </row>
    <row r="34" spans="2:14" ht="27.6" x14ac:dyDescent="0.3">
      <c r="B34" s="287" t="s">
        <v>129</v>
      </c>
      <c r="C34" s="288" t="str">
        <f>'1.Úvodní parametry'!D26</f>
        <v>Hodina/rok</v>
      </c>
      <c r="D34" s="249">
        <v>2</v>
      </c>
      <c r="E34" s="289">
        <f>VLOOKUP(D34,'1.Úvodní parametry'!$D$43:$E$45,2,FALSE)</f>
        <v>657</v>
      </c>
      <c r="F34" s="247">
        <v>0</v>
      </c>
      <c r="G34" s="290"/>
      <c r="H34" s="132"/>
      <c r="I34" s="152" t="s">
        <v>130</v>
      </c>
      <c r="J34" s="154">
        <f>E34*F34</f>
        <v>0</v>
      </c>
      <c r="K34" s="155">
        <f>E34*F34</f>
        <v>0</v>
      </c>
      <c r="L34" s="156">
        <f t="shared" si="3"/>
        <v>0</v>
      </c>
      <c r="N34" s="142" t="s">
        <v>131</v>
      </c>
    </row>
    <row r="35" spans="2:14" ht="28.2" thickBot="1" x14ac:dyDescent="0.35">
      <c r="B35" s="291" t="s">
        <v>129</v>
      </c>
      <c r="C35" s="278" t="str">
        <f>'1.Úvodní parametry'!$D$24</f>
        <v>Kč/rok</v>
      </c>
      <c r="D35" s="292"/>
      <c r="E35" s="293"/>
      <c r="F35" s="248">
        <v>0</v>
      </c>
      <c r="G35" s="294"/>
      <c r="H35" s="132"/>
      <c r="I35" s="152" t="s">
        <v>130</v>
      </c>
      <c r="J35" s="157">
        <f>IF($J$5='1.Úvodní parametry'!$D$3,'2. Vstupní data on-premise '!F35,'2. Vstupní data on-premise '!F35/(1+$K$4))</f>
        <v>0</v>
      </c>
      <c r="K35" s="158">
        <f>IF($K$5='1.Úvodní parametry'!$D$3,'2. Vstupní data on-premise '!F35,'2. Vstupní data on-premise '!F35*(1+$K$4))</f>
        <v>0</v>
      </c>
      <c r="L35" s="159">
        <f t="shared" si="3"/>
        <v>0</v>
      </c>
      <c r="N35" s="142" t="s">
        <v>93</v>
      </c>
    </row>
    <row r="36" spans="2:14" ht="15" thickTop="1" x14ac:dyDescent="0.3">
      <c r="B36" s="256"/>
      <c r="C36" s="256"/>
      <c r="D36" s="256"/>
      <c r="E36" s="256"/>
      <c r="F36" s="256"/>
      <c r="G36" s="257"/>
      <c r="H36" s="132"/>
      <c r="N36" s="142" t="s">
        <v>93</v>
      </c>
    </row>
    <row r="37" spans="2:14" ht="28.8" x14ac:dyDescent="0.3">
      <c r="B37" s="281" t="s">
        <v>132</v>
      </c>
      <c r="C37" s="281" t="s">
        <v>30</v>
      </c>
      <c r="D37" s="282" t="s">
        <v>9</v>
      </c>
      <c r="E37" s="281"/>
      <c r="F37" s="270" t="s">
        <v>42</v>
      </c>
      <c r="G37" s="283" t="s">
        <v>19</v>
      </c>
      <c r="H37" s="132"/>
      <c r="J37" s="143" t="s">
        <v>3</v>
      </c>
      <c r="K37" s="144" t="s">
        <v>43</v>
      </c>
      <c r="L37" s="145" t="str">
        <f>'4. Kalkulace TCO a Porovnání'!$J$5</f>
        <v>v Kč včetně DPH</v>
      </c>
      <c r="N37" s="142" t="s">
        <v>93</v>
      </c>
    </row>
    <row r="38" spans="2:14" x14ac:dyDescent="0.3">
      <c r="B38" s="272" t="s">
        <v>133</v>
      </c>
      <c r="C38" s="263" t="str">
        <f>JenotkaMěny</f>
        <v>Kč</v>
      </c>
      <c r="D38" s="237" t="str">
        <f>'1.Úvodní parametry'!$D$10</f>
        <v>NE</v>
      </c>
      <c r="E38" s="263"/>
      <c r="F38" s="244">
        <v>0</v>
      </c>
      <c r="G38" s="273"/>
      <c r="H38" s="132"/>
      <c r="I38" s="152" t="s">
        <v>134</v>
      </c>
      <c r="J38" s="146">
        <f>IF($J$5='1.Úvodní parametry'!$D$3,'2. Vstupní data on-premise '!F38,'2. Vstupní data on-premise '!F38/(1+$K$4))</f>
        <v>0</v>
      </c>
      <c r="K38" s="147">
        <f>IF($K$5='1.Úvodní parametry'!$D$3,'2. Vstupní data on-premise '!F38,'2. Vstupní data on-premise '!F38*(1+$K$4))</f>
        <v>0</v>
      </c>
      <c r="L38" s="148">
        <f>IF($L$166=$J$166,J38,K38)</f>
        <v>0</v>
      </c>
      <c r="N38" s="142" t="s">
        <v>93</v>
      </c>
    </row>
    <row r="39" spans="2:14" ht="15" thickBot="1" x14ac:dyDescent="0.35">
      <c r="B39" s="284" t="s">
        <v>135</v>
      </c>
      <c r="C39" s="278" t="str">
        <f>'1.Úvodní parametry'!$D$24</f>
        <v>Kč/rok</v>
      </c>
      <c r="D39" s="278"/>
      <c r="E39" s="278"/>
      <c r="F39" s="245">
        <v>0</v>
      </c>
      <c r="G39" s="295"/>
      <c r="H39" s="132"/>
      <c r="I39" s="152" t="s">
        <v>136</v>
      </c>
      <c r="J39" s="149">
        <f>IF($J$5='1.Úvodní parametry'!$D$3,'2. Vstupní data on-premise '!F39,'2. Vstupní data on-premise '!F39/(1+$K$4))</f>
        <v>0</v>
      </c>
      <c r="K39" s="150">
        <f>IF($K$5='1.Úvodní parametry'!$D$3,'2. Vstupní data on-premise '!F39,'2. Vstupní data on-premise '!F39*(1+$K$4))</f>
        <v>0</v>
      </c>
      <c r="L39" s="151">
        <f>IF($L$166=$J$166,J39,K39)</f>
        <v>0</v>
      </c>
      <c r="N39" s="142" t="s">
        <v>93</v>
      </c>
    </row>
    <row r="40" spans="2:14" ht="15" thickTop="1" x14ac:dyDescent="0.3">
      <c r="B40" s="272"/>
      <c r="C40" s="263"/>
      <c r="D40" s="263"/>
      <c r="E40" s="263"/>
      <c r="F40" s="296"/>
      <c r="G40" s="273"/>
      <c r="H40" s="132"/>
      <c r="N40" s="142" t="s">
        <v>93</v>
      </c>
    </row>
    <row r="41" spans="2:14" ht="45.75" customHeight="1" x14ac:dyDescent="0.3">
      <c r="B41" s="271" t="s">
        <v>137</v>
      </c>
      <c r="C41" s="268" t="s">
        <v>30</v>
      </c>
      <c r="D41" s="282" t="s">
        <v>124</v>
      </c>
      <c r="E41" s="297"/>
      <c r="F41" s="270" t="s">
        <v>42</v>
      </c>
      <c r="G41" s="271" t="s">
        <v>19</v>
      </c>
      <c r="H41" s="132"/>
      <c r="J41" s="143" t="s">
        <v>3</v>
      </c>
      <c r="K41" s="144" t="s">
        <v>43</v>
      </c>
      <c r="L41" s="145" t="str">
        <f>'4. Kalkulace TCO a Porovnání'!$J$5</f>
        <v>v Kč včetně DPH</v>
      </c>
      <c r="N41" s="142" t="s">
        <v>93</v>
      </c>
    </row>
    <row r="42" spans="2:14" ht="16.95" customHeight="1" x14ac:dyDescent="0.3">
      <c r="B42" s="298" t="s">
        <v>138</v>
      </c>
      <c r="C42" s="286" t="str">
        <f>JenotkaMěny</f>
        <v>Kč</v>
      </c>
      <c r="D42" s="242" t="str">
        <f>'1.Úvodní parametry'!$D$10</f>
        <v>NE</v>
      </c>
      <c r="E42" s="299"/>
      <c r="F42" s="250">
        <v>0</v>
      </c>
      <c r="G42" s="300"/>
      <c r="H42" s="132"/>
      <c r="I42" s="152" t="s">
        <v>139</v>
      </c>
      <c r="J42" s="160">
        <f>ROUND(IF('1.Úvodní parametry'!$D$3=$J$261,F42,F42/(1+$K$260)),0)</f>
        <v>0</v>
      </c>
      <c r="K42" s="161">
        <f>ROUND(IF('1.Úvodní parametry'!$D$3=$K$261,F42,F42*(1+$K$260)),0)</f>
        <v>0</v>
      </c>
      <c r="L42" s="148">
        <f>IF($L$261=$J$261,J42,K42)</f>
        <v>0</v>
      </c>
      <c r="N42" s="142" t="s">
        <v>93</v>
      </c>
    </row>
    <row r="43" spans="2:14" ht="16.95" customHeight="1" x14ac:dyDescent="0.3">
      <c r="B43" s="301" t="s">
        <v>140</v>
      </c>
      <c r="C43" s="302" t="str">
        <f>'1.Úvodní parametry'!D34</f>
        <v>Hodina</v>
      </c>
      <c r="D43" s="252">
        <v>2</v>
      </c>
      <c r="E43" s="303">
        <f>VLOOKUP(D43,'1.Úvodní parametry'!$D$43:$E$45,2,FALSE)</f>
        <v>657</v>
      </c>
      <c r="F43" s="251">
        <v>0</v>
      </c>
      <c r="G43" s="304"/>
      <c r="H43" s="132"/>
      <c r="I43" s="152" t="s">
        <v>141</v>
      </c>
      <c r="J43" s="154"/>
      <c r="K43" s="155"/>
      <c r="L43" s="156"/>
      <c r="N43" s="142" t="s">
        <v>142</v>
      </c>
    </row>
    <row r="44" spans="2:14" ht="16.95" customHeight="1" thickBot="1" x14ac:dyDescent="0.35">
      <c r="B44" s="305" t="s">
        <v>143</v>
      </c>
      <c r="C44" s="306" t="str">
        <f>JenotkaMěny</f>
        <v>Kč</v>
      </c>
      <c r="D44" s="235" t="str">
        <f>'1.Úvodní parametry'!$D$10</f>
        <v>NE</v>
      </c>
      <c r="E44" s="293"/>
      <c r="F44" s="98">
        <f>E43*F43</f>
        <v>0</v>
      </c>
      <c r="G44" s="307"/>
      <c r="H44" s="132"/>
      <c r="I44" s="152" t="s">
        <v>144</v>
      </c>
      <c r="J44" s="146">
        <f>E43*F43</f>
        <v>0</v>
      </c>
      <c r="K44" s="147">
        <f>E43*F43</f>
        <v>0</v>
      </c>
      <c r="L44" s="148">
        <f>IF($L$166=$J$166,J44,K44)</f>
        <v>0</v>
      </c>
      <c r="N44" s="142" t="s">
        <v>93</v>
      </c>
    </row>
    <row r="45" spans="2:14" ht="15.6" thickTop="1" thickBot="1" x14ac:dyDescent="0.35">
      <c r="B45" s="272"/>
      <c r="C45" s="263"/>
      <c r="D45" s="263"/>
      <c r="E45" s="263"/>
      <c r="F45" s="296"/>
      <c r="G45" s="273"/>
      <c r="H45" s="132"/>
      <c r="N45" s="142" t="s">
        <v>93</v>
      </c>
    </row>
    <row r="46" spans="2:14" ht="15" thickBot="1" x14ac:dyDescent="0.35">
      <c r="B46" s="264" t="s">
        <v>145</v>
      </c>
      <c r="C46" s="265"/>
      <c r="D46" s="265"/>
      <c r="E46" s="265"/>
      <c r="F46" s="266"/>
      <c r="G46" s="267"/>
      <c r="H46" s="132"/>
      <c r="N46" s="142" t="s">
        <v>93</v>
      </c>
    </row>
    <row r="47" spans="2:14" ht="43.2" customHeight="1" x14ac:dyDescent="0.3">
      <c r="B47" s="268"/>
      <c r="C47" s="268" t="s">
        <v>30</v>
      </c>
      <c r="D47" s="282" t="s">
        <v>124</v>
      </c>
      <c r="E47" s="268"/>
      <c r="F47" s="270" t="s">
        <v>42</v>
      </c>
      <c r="G47" s="271" t="s">
        <v>19</v>
      </c>
      <c r="H47" s="132"/>
      <c r="J47" s="143" t="s">
        <v>3</v>
      </c>
      <c r="K47" s="144" t="s">
        <v>43</v>
      </c>
      <c r="L47" s="145" t="str">
        <f>'4. Kalkulace TCO a Porovnání'!$J$5</f>
        <v>v Kč včetně DPH</v>
      </c>
      <c r="N47" s="142" t="s">
        <v>93</v>
      </c>
    </row>
    <row r="48" spans="2:14" x14ac:dyDescent="0.3">
      <c r="B48" s="308" t="s">
        <v>146</v>
      </c>
      <c r="C48" s="263" t="str">
        <f>JenotkaMěny</f>
        <v>Kč</v>
      </c>
      <c r="D48" s="238" t="str">
        <f>'1.Úvodní parametry'!$D$10</f>
        <v>NE</v>
      </c>
      <c r="E48" s="302"/>
      <c r="F48" s="253">
        <v>0</v>
      </c>
      <c r="G48" s="304"/>
      <c r="H48" s="132"/>
      <c r="I48" s="152" t="s">
        <v>147</v>
      </c>
      <c r="J48" s="146">
        <f>IF($J$5='1.Úvodní parametry'!$D$3,'2. Vstupní data on-premise '!F48,'2. Vstupní data on-premise '!F48/(1+$K$4))</f>
        <v>0</v>
      </c>
      <c r="K48" s="147">
        <f>IF($K$5='1.Úvodní parametry'!$D$3,'2. Vstupní data on-premise '!F48,'2. Vstupní data on-premise '!F48*(1+$K$4))</f>
        <v>0</v>
      </c>
      <c r="L48" s="148">
        <f>IF($L$166=$J$166,J48,K48)</f>
        <v>0</v>
      </c>
      <c r="N48" s="142" t="s">
        <v>93</v>
      </c>
    </row>
    <row r="49" spans="1:18" x14ac:dyDescent="0.3">
      <c r="A49" s="256"/>
      <c r="B49" s="308" t="s">
        <v>148</v>
      </c>
      <c r="C49" s="263" t="str">
        <f>JenotkaMěny</f>
        <v>Kč</v>
      </c>
      <c r="D49" s="238" t="str">
        <f>'1.Úvodní parametry'!$D$10</f>
        <v>NE</v>
      </c>
      <c r="E49" s="302"/>
      <c r="F49" s="253">
        <v>0</v>
      </c>
      <c r="G49" s="304"/>
      <c r="H49" s="132"/>
      <c r="I49" s="152" t="s">
        <v>149</v>
      </c>
      <c r="J49" s="146">
        <f>IF($J$5='1.Úvodní parametry'!$D$3,'2. Vstupní data on-premise '!F49,'2. Vstupní data on-premise '!F49/(1+$K$4))</f>
        <v>0</v>
      </c>
      <c r="K49" s="147">
        <f>IF($K$5='1.Úvodní parametry'!$D$3,'2. Vstupní data on-premise '!F49,'2. Vstupní data on-premise '!F49*(1+$K$4))</f>
        <v>0</v>
      </c>
      <c r="L49" s="148">
        <f>IF($L$166=$J$166,J49,K49)</f>
        <v>0</v>
      </c>
      <c r="N49" s="142" t="s">
        <v>93</v>
      </c>
    </row>
    <row r="50" spans="1:18" x14ac:dyDescent="0.3">
      <c r="A50" s="256"/>
      <c r="B50" s="308" t="s">
        <v>111</v>
      </c>
      <c r="C50" s="286" t="str">
        <f>'1.Úvodní parametry'!$D$24</f>
        <v>Kč/rok</v>
      </c>
      <c r="D50" s="309"/>
      <c r="E50" s="309"/>
      <c r="F50" s="253">
        <v>0</v>
      </c>
      <c r="G50" s="310"/>
      <c r="H50" s="132"/>
      <c r="I50" s="152" t="s">
        <v>150</v>
      </c>
      <c r="J50" s="146">
        <f>IF($J$5='1.Úvodní parametry'!$D$3,'2. Vstupní data on-premise '!F50,'2. Vstupní data on-premise '!F50/(1+$K$4))</f>
        <v>0</v>
      </c>
      <c r="K50" s="147">
        <f>IF($K$5='1.Úvodní parametry'!$D$3,'2. Vstupní data on-premise '!F50,'2. Vstupní data on-premise '!F50*(1+$K$4))</f>
        <v>0</v>
      </c>
      <c r="L50" s="148">
        <f>IF($L$166=$J$166,J50,K50)</f>
        <v>0</v>
      </c>
      <c r="N50" s="142" t="s">
        <v>93</v>
      </c>
    </row>
    <row r="51" spans="1:18" ht="24.6" customHeight="1" x14ac:dyDescent="0.3">
      <c r="A51" s="256"/>
      <c r="B51" s="311" t="s">
        <v>151</v>
      </c>
      <c r="C51" s="288" t="str">
        <f>'1.Úvodní parametry'!D26</f>
        <v>Hodina/rok</v>
      </c>
      <c r="D51" s="249">
        <v>2</v>
      </c>
      <c r="E51" s="289">
        <f>VLOOKUP(D51,'1.Úvodní parametry'!$D$43:$E$45,2,FALSE)</f>
        <v>657</v>
      </c>
      <c r="F51" s="247">
        <v>0</v>
      </c>
      <c r="G51" s="290"/>
      <c r="H51" s="132"/>
      <c r="I51" s="152" t="s">
        <v>152</v>
      </c>
      <c r="J51" s="162">
        <f>E51*F51</f>
        <v>0</v>
      </c>
      <c r="K51" s="163">
        <f>E51*F51</f>
        <v>0</v>
      </c>
      <c r="L51" s="164">
        <f>IF($L$166=$J$166,J51,K51)</f>
        <v>0</v>
      </c>
      <c r="N51" s="142" t="s">
        <v>131</v>
      </c>
    </row>
    <row r="52" spans="1:18" ht="24.6" customHeight="1" thickBot="1" x14ac:dyDescent="0.35">
      <c r="A52" s="256"/>
      <c r="B52" s="312" t="s">
        <v>151</v>
      </c>
      <c r="C52" s="278" t="str">
        <f>'1.Úvodní parametry'!$D$24</f>
        <v>Kč/rok</v>
      </c>
      <c r="D52" s="292"/>
      <c r="E52" s="293"/>
      <c r="F52" s="248">
        <v>0</v>
      </c>
      <c r="G52" s="294"/>
      <c r="H52" s="132"/>
      <c r="I52" s="152" t="s">
        <v>152</v>
      </c>
      <c r="J52" s="157">
        <f>IF($J$5='1.Úvodní parametry'!$D$3,'2. Vstupní data on-premise '!F52,'2. Vstupní data on-premise '!F52/(1+$K$4))</f>
        <v>0</v>
      </c>
      <c r="K52" s="158">
        <f>IF($K$5='1.Úvodní parametry'!$D$3,'2. Vstupní data on-premise '!F52,'2. Vstupní data on-premise '!F52*(1+$K$4))</f>
        <v>0</v>
      </c>
      <c r="L52" s="159">
        <f>IF($L$166=$J$166,J52,K52)</f>
        <v>0</v>
      </c>
      <c r="N52" s="142" t="s">
        <v>93</v>
      </c>
    </row>
    <row r="53" spans="1:18" ht="15" thickTop="1" x14ac:dyDescent="0.3">
      <c r="A53" s="256"/>
      <c r="B53" s="272"/>
      <c r="C53" s="263"/>
      <c r="D53" s="263"/>
      <c r="E53" s="263"/>
      <c r="F53" s="296"/>
      <c r="G53" s="273"/>
      <c r="H53" s="132"/>
      <c r="N53" s="142" t="s">
        <v>93</v>
      </c>
      <c r="O53" s="142"/>
    </row>
    <row r="54" spans="1:18" x14ac:dyDescent="0.3">
      <c r="A54" s="256"/>
      <c r="B54" s="256"/>
      <c r="C54" s="256"/>
      <c r="D54" s="256"/>
      <c r="E54" s="256"/>
      <c r="F54" s="256"/>
      <c r="G54" s="257"/>
      <c r="H54" s="132"/>
      <c r="N54" s="142" t="s">
        <v>93</v>
      </c>
      <c r="O54" s="142"/>
    </row>
    <row r="55" spans="1:18" x14ac:dyDescent="0.3">
      <c r="A55" s="256"/>
      <c r="B55" s="313" t="s">
        <v>153</v>
      </c>
      <c r="C55" s="314"/>
      <c r="D55" s="314"/>
      <c r="E55" s="314"/>
      <c r="F55" s="315"/>
      <c r="G55" s="316"/>
      <c r="H55" s="132"/>
      <c r="N55" s="142" t="s">
        <v>93</v>
      </c>
      <c r="O55" s="142"/>
    </row>
    <row r="56" spans="1:18" ht="41.4" customHeight="1" x14ac:dyDescent="0.3">
      <c r="A56" s="256"/>
      <c r="B56" s="281" t="s">
        <v>154</v>
      </c>
      <c r="C56" s="281" t="s">
        <v>30</v>
      </c>
      <c r="D56" s="282" t="s">
        <v>124</v>
      </c>
      <c r="E56" s="281"/>
      <c r="F56" s="270" t="s">
        <v>42</v>
      </c>
      <c r="G56" s="283" t="s">
        <v>19</v>
      </c>
      <c r="H56" s="165"/>
      <c r="I56" s="166"/>
      <c r="J56" s="143" t="s">
        <v>3</v>
      </c>
      <c r="K56" s="144" t="s">
        <v>43</v>
      </c>
      <c r="L56" s="145" t="str">
        <f>'4. Kalkulace TCO a Porovnání'!$J$5</f>
        <v>v Kč včetně DPH</v>
      </c>
      <c r="N56" s="142" t="s">
        <v>93</v>
      </c>
      <c r="O56" s="142"/>
    </row>
    <row r="57" spans="1:18" x14ac:dyDescent="0.3">
      <c r="A57" s="256"/>
      <c r="B57" s="317" t="s">
        <v>155</v>
      </c>
      <c r="C57" s="318" t="str">
        <f>'1.Úvodní parametry'!D36</f>
        <v>rok</v>
      </c>
      <c r="D57" s="256"/>
      <c r="E57" s="318"/>
      <c r="F57" s="99">
        <f>DelkaProjektu</f>
        <v>5</v>
      </c>
      <c r="G57" s="319"/>
      <c r="H57" s="165"/>
      <c r="I57" s="167"/>
      <c r="J57" s="166"/>
      <c r="K57" s="166"/>
      <c r="N57" s="142" t="s">
        <v>93</v>
      </c>
      <c r="O57" s="142"/>
    </row>
    <row r="58" spans="1:18" x14ac:dyDescent="0.3">
      <c r="A58" s="256"/>
      <c r="B58" s="274" t="s">
        <v>671</v>
      </c>
      <c r="C58" s="318" t="str">
        <f>JenotkaMěny</f>
        <v>Kč</v>
      </c>
      <c r="D58" s="237" t="str">
        <f>'1.Úvodní parametry'!$D$10</f>
        <v>NE</v>
      </c>
      <c r="E58" s="318"/>
      <c r="F58" s="71">
        <v>0</v>
      </c>
      <c r="G58" s="319" t="s">
        <v>156</v>
      </c>
      <c r="H58" s="165"/>
      <c r="I58" s="168" t="s">
        <v>157</v>
      </c>
      <c r="J58" s="146">
        <f>IF($J$5='1.Úvodní parametry'!$D$3,'2. Vstupní data on-premise '!F58,'2. Vstupní data on-premise '!F58/(1+$K$4))</f>
        <v>0</v>
      </c>
      <c r="K58" s="147">
        <f>IF($K$5='1.Úvodní parametry'!$D$3,'2. Vstupní data on-premise '!F58,'2. Vstupní data on-premise '!F58*(1+$K$4))</f>
        <v>0</v>
      </c>
      <c r="L58" s="148">
        <f>IF($L$166=$J$166,J58,K58)</f>
        <v>0</v>
      </c>
      <c r="N58" s="142" t="s">
        <v>93</v>
      </c>
      <c r="O58" s="142"/>
    </row>
    <row r="59" spans="1:18" x14ac:dyDescent="0.3">
      <c r="A59" s="256"/>
      <c r="B59" s="317" t="s">
        <v>672</v>
      </c>
      <c r="C59" s="318" t="str">
        <f>'1.Úvodní parametry'!$D$24</f>
        <v>Kč/rok</v>
      </c>
      <c r="D59" s="318"/>
      <c r="E59" s="318"/>
      <c r="F59" s="71">
        <v>0</v>
      </c>
      <c r="G59" s="320"/>
      <c r="H59" s="165"/>
      <c r="I59" s="168" t="s">
        <v>158</v>
      </c>
      <c r="J59" s="146">
        <f>IF($J$5='1.Úvodní parametry'!$D$3,'2. Vstupní data on-premise '!F59,'2. Vstupní data on-premise '!F59/(1+$K$4))</f>
        <v>0</v>
      </c>
      <c r="K59" s="147">
        <f>IF($K$5='1.Úvodní parametry'!$D$3,'2. Vstupní data on-premise '!F59,'2. Vstupní data on-premise '!F59*(1+$K$4))</f>
        <v>0</v>
      </c>
      <c r="L59" s="148">
        <f>IF($L$166=$J$166,J59,K59)</f>
        <v>0</v>
      </c>
      <c r="N59" s="142" t="s">
        <v>93</v>
      </c>
      <c r="O59" s="142"/>
    </row>
    <row r="60" spans="1:18" ht="27.6" x14ac:dyDescent="0.3">
      <c r="A60" s="256"/>
      <c r="B60" s="311" t="s">
        <v>159</v>
      </c>
      <c r="C60" s="321" t="str">
        <f>'1.Úvodní parametry'!D26</f>
        <v>Hodina/rok</v>
      </c>
      <c r="D60" s="249">
        <v>2</v>
      </c>
      <c r="E60" s="289">
        <f>VLOOKUP(D60,'1.Úvodní parametry'!$D$43:$E$45,2,FALSE)</f>
        <v>657</v>
      </c>
      <c r="F60" s="247">
        <v>0</v>
      </c>
      <c r="G60" s="290"/>
      <c r="H60" s="165"/>
      <c r="I60" s="168" t="s">
        <v>160</v>
      </c>
      <c r="J60" s="154">
        <f>E60*F60</f>
        <v>0</v>
      </c>
      <c r="K60" s="155">
        <f>E60*F60</f>
        <v>0</v>
      </c>
      <c r="L60" s="156">
        <f>IF($L$166=$J$166,J60,K60)</f>
        <v>0</v>
      </c>
      <c r="N60" s="142" t="s">
        <v>131</v>
      </c>
    </row>
    <row r="61" spans="1:18" ht="28.2" thickBot="1" x14ac:dyDescent="0.35">
      <c r="A61" s="256"/>
      <c r="B61" s="312" t="s">
        <v>159</v>
      </c>
      <c r="C61" s="322" t="str">
        <f>'1.Úvodní parametry'!$D$24</f>
        <v>Kč/rok</v>
      </c>
      <c r="D61" s="292"/>
      <c r="E61" s="293"/>
      <c r="F61" s="248">
        <v>0</v>
      </c>
      <c r="G61" s="294"/>
      <c r="H61" s="165"/>
      <c r="I61" s="168" t="s">
        <v>160</v>
      </c>
      <c r="J61" s="154">
        <f>IF($J$5='1.Úvodní parametry'!$D$3,'2. Vstupní data on-premise '!F61,'2. Vstupní data on-premise '!F61/(1+$K$4))</f>
        <v>0</v>
      </c>
      <c r="K61" s="155">
        <f>IF($K$5='1.Úvodní parametry'!$D$3,'2. Vstupní data on-premise '!F61,'2. Vstupní data on-premise '!F61*(1+$K$4))</f>
        <v>0</v>
      </c>
      <c r="L61" s="156">
        <f>IF($L$166=$J$166,J61,K61)</f>
        <v>0</v>
      </c>
      <c r="N61" s="142" t="s">
        <v>93</v>
      </c>
    </row>
    <row r="62" spans="1:18" s="328" customFormat="1" ht="15" thickTop="1" x14ac:dyDescent="0.3">
      <c r="A62" s="323"/>
      <c r="B62" s="317"/>
      <c r="C62" s="324"/>
      <c r="D62" s="324"/>
      <c r="E62" s="324"/>
      <c r="F62" s="325"/>
      <c r="G62" s="326"/>
      <c r="H62" s="169"/>
      <c r="I62" s="170"/>
      <c r="J62" s="171"/>
      <c r="K62" s="171"/>
      <c r="L62" s="153"/>
      <c r="M62" s="172"/>
      <c r="N62" s="142" t="s">
        <v>93</v>
      </c>
      <c r="O62" s="172"/>
      <c r="P62" s="172"/>
      <c r="Q62" s="172"/>
      <c r="R62" s="327"/>
    </row>
    <row r="63" spans="1:18" x14ac:dyDescent="0.3">
      <c r="B63" s="329" t="s">
        <v>161</v>
      </c>
      <c r="C63" s="329" t="s">
        <v>30</v>
      </c>
      <c r="D63" s="329"/>
      <c r="E63" s="329"/>
      <c r="F63" s="270" t="s">
        <v>42</v>
      </c>
      <c r="G63" s="330" t="s">
        <v>19</v>
      </c>
      <c r="H63" s="165"/>
      <c r="I63" s="167"/>
      <c r="J63" s="167"/>
      <c r="K63" s="166"/>
      <c r="N63" s="142" t="s">
        <v>93</v>
      </c>
    </row>
    <row r="64" spans="1:18" x14ac:dyDescent="0.3">
      <c r="B64" s="272" t="s">
        <v>162</v>
      </c>
      <c r="C64" s="262" t="s">
        <v>163</v>
      </c>
      <c r="D64" s="262"/>
      <c r="E64" s="262"/>
      <c r="F64" s="331">
        <v>0</v>
      </c>
      <c r="G64" s="273"/>
      <c r="H64" s="165"/>
      <c r="I64" s="167"/>
      <c r="J64" s="166"/>
      <c r="K64" s="166"/>
      <c r="N64" s="142" t="s">
        <v>93</v>
      </c>
    </row>
    <row r="65" spans="2:14" ht="21.6" customHeight="1" thickBot="1" x14ac:dyDescent="0.35">
      <c r="B65" s="284" t="s">
        <v>164</v>
      </c>
      <c r="C65" s="278" t="str">
        <f>'1.Úvodní parametry'!D38</f>
        <v>% / rok</v>
      </c>
      <c r="D65" s="278"/>
      <c r="E65" s="278"/>
      <c r="F65" s="332">
        <v>0</v>
      </c>
      <c r="G65" s="333"/>
      <c r="H65" s="165"/>
      <c r="I65" s="173" t="s">
        <v>679</v>
      </c>
      <c r="J65" s="166"/>
      <c r="K65" s="166"/>
      <c r="N65" s="142" t="s">
        <v>93</v>
      </c>
    </row>
    <row r="66" spans="2:14" ht="15" thickTop="1" x14ac:dyDescent="0.3">
      <c r="B66" s="256"/>
      <c r="C66" s="256"/>
      <c r="D66" s="256"/>
      <c r="E66" s="256"/>
      <c r="F66" s="256"/>
      <c r="G66" s="257"/>
      <c r="H66" s="132"/>
      <c r="I66" s="167"/>
      <c r="N66" s="142" t="s">
        <v>93</v>
      </c>
    </row>
    <row r="67" spans="2:14" ht="24.75" customHeight="1" x14ac:dyDescent="0.3">
      <c r="B67" s="281" t="s">
        <v>165</v>
      </c>
      <c r="C67" s="281"/>
      <c r="D67" s="282" t="s">
        <v>9</v>
      </c>
      <c r="E67" s="281"/>
      <c r="F67" s="270" t="s">
        <v>42</v>
      </c>
      <c r="G67" s="283" t="s">
        <v>19</v>
      </c>
      <c r="H67" s="132"/>
      <c r="J67" s="143" t="s">
        <v>3</v>
      </c>
      <c r="K67" s="144" t="s">
        <v>43</v>
      </c>
      <c r="L67" s="145" t="str">
        <f>'4. Kalkulace TCO a Porovnání'!$J$5</f>
        <v>v Kč včetně DPH</v>
      </c>
      <c r="N67" s="142" t="s">
        <v>93</v>
      </c>
    </row>
    <row r="68" spans="2:14" x14ac:dyDescent="0.3">
      <c r="B68" s="317" t="s">
        <v>166</v>
      </c>
      <c r="C68" s="318" t="str">
        <f>JenotkaMěny</f>
        <v>Kč</v>
      </c>
      <c r="D68" s="237" t="str">
        <f>'1.Úvodní parametry'!$D$10</f>
        <v>NE</v>
      </c>
      <c r="E68" s="318"/>
      <c r="F68" s="71">
        <v>0</v>
      </c>
      <c r="G68" s="320"/>
      <c r="H68" s="174"/>
      <c r="I68" s="175" t="s">
        <v>157</v>
      </c>
      <c r="J68" s="146">
        <f>IF($J$5='1.Úvodní parametry'!$D$3,'2. Vstupní data on-premise '!F68,'2. Vstupní data on-premise '!F68/(1+$K$4))</f>
        <v>0</v>
      </c>
      <c r="K68" s="147">
        <f>IF($K$5='1.Úvodní parametry'!$D$3,'2. Vstupní data on-premise '!F68,'2. Vstupní data on-premise '!F68*(1+$K$4))</f>
        <v>0</v>
      </c>
      <c r="L68" s="148">
        <f>IF($L$166=$J$166,J68,K68)</f>
        <v>0</v>
      </c>
      <c r="N68" s="142" t="s">
        <v>93</v>
      </c>
    </row>
    <row r="69" spans="2:14" ht="19.95" customHeight="1" thickBot="1" x14ac:dyDescent="0.35">
      <c r="B69" s="317" t="s">
        <v>167</v>
      </c>
      <c r="C69" s="318" t="str">
        <f>'1.Úvodní parametry'!$D$24</f>
        <v>Kč/rok</v>
      </c>
      <c r="D69" s="318"/>
      <c r="E69" s="318"/>
      <c r="F69" s="241">
        <f>F68/DelkaProjektu</f>
        <v>0</v>
      </c>
      <c r="G69" s="320"/>
      <c r="H69" s="174"/>
      <c r="I69" s="176" t="s">
        <v>680</v>
      </c>
      <c r="J69" s="149">
        <f>IF($J$5='1.Úvodní parametry'!$D$3,'2. Vstupní data on-premise '!F69,'2. Vstupní data on-premise '!F69/(1+$K$4))</f>
        <v>0</v>
      </c>
      <c r="K69" s="150">
        <f>IF($K$5='1.Úvodní parametry'!$D$3,'2. Vstupní data on-premise '!F69,'2. Vstupní data on-premise '!F69*(1+$K$4))</f>
        <v>0</v>
      </c>
      <c r="L69" s="151">
        <f>IF($L$166=$J$166,J69,K69)</f>
        <v>0</v>
      </c>
      <c r="N69" s="142" t="s">
        <v>93</v>
      </c>
    </row>
    <row r="70" spans="2:14" ht="15" thickTop="1" x14ac:dyDescent="0.3">
      <c r="B70" s="272" t="s">
        <v>168</v>
      </c>
      <c r="C70" s="263" t="str">
        <f>'1.Úvodní parametry'!$D$39</f>
        <v>kus</v>
      </c>
      <c r="D70" s="263"/>
      <c r="E70" s="263"/>
      <c r="F70" s="334">
        <v>0</v>
      </c>
      <c r="G70" s="257"/>
      <c r="H70" s="177"/>
      <c r="I70" s="153" t="s">
        <v>169</v>
      </c>
      <c r="N70" s="142" t="s">
        <v>93</v>
      </c>
    </row>
    <row r="71" spans="2:14" x14ac:dyDescent="0.3">
      <c r="B71" s="272" t="s">
        <v>170</v>
      </c>
      <c r="C71" s="318" t="str">
        <f>'1.Úvodní parametry'!$D$37</f>
        <v>jednotka</v>
      </c>
      <c r="D71" s="263"/>
      <c r="E71" s="263"/>
      <c r="F71" s="334">
        <v>0</v>
      </c>
      <c r="G71" s="257"/>
      <c r="H71" s="132"/>
      <c r="I71" s="153" t="s">
        <v>169</v>
      </c>
      <c r="N71" s="142" t="s">
        <v>93</v>
      </c>
    </row>
    <row r="72" spans="2:14" x14ac:dyDescent="0.3">
      <c r="B72" s="272" t="s">
        <v>171</v>
      </c>
      <c r="C72" s="263" t="s">
        <v>163</v>
      </c>
      <c r="D72" s="263"/>
      <c r="E72" s="263"/>
      <c r="F72" s="335">
        <v>0</v>
      </c>
      <c r="G72" s="257"/>
      <c r="H72" s="132"/>
      <c r="I72" s="153" t="s">
        <v>172</v>
      </c>
      <c r="N72" s="142" t="s">
        <v>93</v>
      </c>
    </row>
    <row r="73" spans="2:14" x14ac:dyDescent="0.3">
      <c r="B73" s="308" t="s">
        <v>173</v>
      </c>
      <c r="C73" s="309" t="s">
        <v>174</v>
      </c>
      <c r="D73" s="309"/>
      <c r="E73" s="309"/>
      <c r="F73" s="336">
        <v>0</v>
      </c>
      <c r="G73" s="304"/>
      <c r="H73" s="132"/>
      <c r="I73" s="153" t="s">
        <v>172</v>
      </c>
      <c r="N73" s="142" t="s">
        <v>93</v>
      </c>
    </row>
    <row r="74" spans="2:14" x14ac:dyDescent="0.3">
      <c r="B74" s="317" t="s">
        <v>175</v>
      </c>
      <c r="C74" s="318" t="str">
        <f>JenotkaMěny</f>
        <v>Kč</v>
      </c>
      <c r="D74" s="237" t="str">
        <f>'1.Úvodní parametry'!$D$10</f>
        <v>NE</v>
      </c>
      <c r="E74" s="318"/>
      <c r="F74" s="71">
        <v>0</v>
      </c>
      <c r="G74" s="304"/>
      <c r="H74" s="174"/>
      <c r="I74" s="175" t="s">
        <v>157</v>
      </c>
      <c r="J74" s="146">
        <f>IF($J$5='1.Úvodní parametry'!$D$3,'2. Vstupní data on-premise '!F74,'2. Vstupní data on-premise '!F74/(1+$K$4))</f>
        <v>0</v>
      </c>
      <c r="K74" s="147">
        <f>IF($K$5='1.Úvodní parametry'!$D$3,'2. Vstupní data on-premise '!F74,'2. Vstupní data on-premise '!F74*(1+$K$4))</f>
        <v>0</v>
      </c>
      <c r="L74" s="148">
        <f>IF($L$166=$J$166,J74,K74)</f>
        <v>0</v>
      </c>
      <c r="N74" s="142" t="s">
        <v>93</v>
      </c>
    </row>
    <row r="75" spans="2:14" ht="15" thickBot="1" x14ac:dyDescent="0.35">
      <c r="B75" s="305" t="s">
        <v>176</v>
      </c>
      <c r="C75" s="322" t="str">
        <f>'1.Úvodní parametry'!$D$24</f>
        <v>Kč/rok</v>
      </c>
      <c r="D75" s="337"/>
      <c r="E75" s="337"/>
      <c r="F75" s="240">
        <f>F74/F57</f>
        <v>0</v>
      </c>
      <c r="G75" s="307"/>
      <c r="H75" s="132"/>
      <c r="I75" s="167"/>
      <c r="J75" s="149">
        <f>IF($J$5='1.Úvodní parametry'!$D$3,'2. Vstupní data on-premise '!F75,'2. Vstupní data on-premise '!F75/(1+$K$4))</f>
        <v>0</v>
      </c>
      <c r="K75" s="150">
        <f>IF($K$5='1.Úvodní parametry'!$D$3,'2. Vstupní data on-premise '!F75,'2. Vstupní data on-premise '!F75*(1+$K$4))</f>
        <v>0</v>
      </c>
      <c r="L75" s="151">
        <f>IF($L$166=$J$166,J75,K75)</f>
        <v>0</v>
      </c>
      <c r="N75" s="142" t="s">
        <v>93</v>
      </c>
    </row>
    <row r="76" spans="2:14" ht="15" thickTop="1" x14ac:dyDescent="0.3">
      <c r="B76" s="256"/>
      <c r="C76" s="309"/>
      <c r="D76" s="309"/>
      <c r="E76" s="309"/>
      <c r="F76" s="338"/>
      <c r="G76" s="304"/>
      <c r="H76" s="132"/>
      <c r="N76" s="142" t="s">
        <v>93</v>
      </c>
    </row>
    <row r="77" spans="2:14" ht="26.25" customHeight="1" x14ac:dyDescent="0.3">
      <c r="B77" s="281" t="s">
        <v>177</v>
      </c>
      <c r="C77" s="281"/>
      <c r="D77" s="282" t="s">
        <v>9</v>
      </c>
      <c r="E77" s="281"/>
      <c r="F77" s="270" t="s">
        <v>42</v>
      </c>
      <c r="G77" s="283" t="s">
        <v>19</v>
      </c>
      <c r="H77" s="132"/>
      <c r="J77" s="143" t="s">
        <v>3</v>
      </c>
      <c r="K77" s="144" t="s">
        <v>43</v>
      </c>
      <c r="L77" s="145" t="str">
        <f>'4. Kalkulace TCO a Porovnání'!$J$5</f>
        <v>v Kč včetně DPH</v>
      </c>
      <c r="N77" s="142" t="s">
        <v>93</v>
      </c>
    </row>
    <row r="78" spans="2:14" x14ac:dyDescent="0.3">
      <c r="B78" s="308" t="s">
        <v>178</v>
      </c>
      <c r="C78" s="318" t="str">
        <f>JenotkaMěny</f>
        <v>Kč</v>
      </c>
      <c r="D78" s="239" t="str">
        <f>'1.Úvodní parametry'!$D$10</f>
        <v>NE</v>
      </c>
      <c r="E78" s="309"/>
      <c r="F78" s="339">
        <v>0</v>
      </c>
      <c r="G78" s="304"/>
      <c r="H78" s="132"/>
      <c r="I78" s="152" t="s">
        <v>179</v>
      </c>
      <c r="J78" s="146">
        <f>IF($J$5='1.Úvodní parametry'!$D$3,'2. Vstupní data on-premise '!F78,'2. Vstupní data on-premise '!F78/(1+$K$4))</f>
        <v>0</v>
      </c>
      <c r="K78" s="147">
        <f>IF($K$5='1.Úvodní parametry'!$D$3,'2. Vstupní data on-premise '!F78,'2. Vstupní data on-premise '!F78*(1+$K$4))</f>
        <v>0</v>
      </c>
      <c r="L78" s="148">
        <f t="shared" ref="L78:L83" si="4">IF($L$166=$J$166,J78,K78)</f>
        <v>0</v>
      </c>
      <c r="N78" s="142" t="s">
        <v>93</v>
      </c>
    </row>
    <row r="79" spans="2:14" x14ac:dyDescent="0.3">
      <c r="B79" s="308" t="s">
        <v>180</v>
      </c>
      <c r="C79" s="318" t="str">
        <f>JenotkaMěny</f>
        <v>Kč</v>
      </c>
      <c r="D79" s="239"/>
      <c r="E79" s="309"/>
      <c r="F79" s="339">
        <v>0</v>
      </c>
      <c r="G79" s="304"/>
      <c r="H79" s="132"/>
      <c r="I79" s="178" t="s">
        <v>179</v>
      </c>
      <c r="J79" s="146">
        <f>IF($J$5='1.Úvodní parametry'!$D$3,'2. Vstupní data on-premise '!F79,'2. Vstupní data on-premise '!F79/(1+$K$4))</f>
        <v>0</v>
      </c>
      <c r="K79" s="147">
        <f>IF($K$5='1.Úvodní parametry'!$D$3,'2. Vstupní data on-premise '!F79,'2. Vstupní data on-premise '!F79*(1+$K$4))</f>
        <v>0</v>
      </c>
      <c r="L79" s="148">
        <f t="shared" si="4"/>
        <v>0</v>
      </c>
      <c r="N79" s="142" t="s">
        <v>93</v>
      </c>
    </row>
    <row r="80" spans="2:14" x14ac:dyDescent="0.3">
      <c r="B80" s="308" t="s">
        <v>181</v>
      </c>
      <c r="C80" s="318" t="str">
        <f>JenotkaMěny</f>
        <v>Kč</v>
      </c>
      <c r="D80" s="239"/>
      <c r="E80" s="309"/>
      <c r="F80" s="339">
        <v>0</v>
      </c>
      <c r="G80" s="304"/>
      <c r="H80" s="132"/>
      <c r="I80" s="178" t="s">
        <v>179</v>
      </c>
      <c r="J80" s="146">
        <f>IF($J$5='1.Úvodní parametry'!$D$3,'2. Vstupní data on-premise '!F80,'2. Vstupní data on-premise '!F80/(1+$K$4))</f>
        <v>0</v>
      </c>
      <c r="K80" s="147">
        <f>IF($K$5='1.Úvodní parametry'!$D$3,'2. Vstupní data on-premise '!F80,'2. Vstupní data on-premise '!F80*(1+$K$4))</f>
        <v>0</v>
      </c>
      <c r="L80" s="148">
        <f t="shared" si="4"/>
        <v>0</v>
      </c>
      <c r="N80" s="142" t="s">
        <v>93</v>
      </c>
    </row>
    <row r="81" spans="2:14" x14ac:dyDescent="0.3">
      <c r="B81" s="308" t="s">
        <v>182</v>
      </c>
      <c r="C81" s="318" t="str">
        <f>JenotkaMěny</f>
        <v>Kč</v>
      </c>
      <c r="D81" s="239"/>
      <c r="E81" s="309"/>
      <c r="F81" s="339">
        <v>0</v>
      </c>
      <c r="G81" s="304"/>
      <c r="H81" s="132"/>
      <c r="I81" s="178" t="s">
        <v>179</v>
      </c>
      <c r="J81" s="146">
        <f>IF($J$5='1.Úvodní parametry'!$D$3,'2. Vstupní data on-premise '!F81,'2. Vstupní data on-premise '!F81/(1+$K$4))</f>
        <v>0</v>
      </c>
      <c r="K81" s="147">
        <f>IF($K$5='1.Úvodní parametry'!$D$3,'2. Vstupní data on-premise '!F81,'2. Vstupní data on-premise '!F81*(1+$K$4))</f>
        <v>0</v>
      </c>
      <c r="L81" s="148">
        <f t="shared" si="4"/>
        <v>0</v>
      </c>
      <c r="N81" s="142" t="s">
        <v>93</v>
      </c>
    </row>
    <row r="82" spans="2:14" x14ac:dyDescent="0.3">
      <c r="B82" s="308" t="s">
        <v>183</v>
      </c>
      <c r="C82" s="288" t="str">
        <f>'1.Úvodní parametry'!$D$24</f>
        <v>Kč/rok</v>
      </c>
      <c r="D82" s="309"/>
      <c r="E82" s="309"/>
      <c r="F82" s="339">
        <v>0</v>
      </c>
      <c r="G82" s="340"/>
      <c r="H82" s="132"/>
      <c r="I82" s="152" t="s">
        <v>184</v>
      </c>
      <c r="J82" s="146">
        <f>IF($J$5='1.Úvodní parametry'!$D$3,'2. Vstupní data on-premise '!F82,'2. Vstupní data on-premise '!F82/(1+$K$4))</f>
        <v>0</v>
      </c>
      <c r="K82" s="147">
        <f>IF($K$5='1.Úvodní parametry'!$D$3,'2. Vstupní data on-premise '!F82,'2. Vstupní data on-premise '!F82*(1+$K$4))</f>
        <v>0</v>
      </c>
      <c r="L82" s="148">
        <f t="shared" si="4"/>
        <v>0</v>
      </c>
      <c r="N82" s="142" t="s">
        <v>93</v>
      </c>
    </row>
    <row r="83" spans="2:14" ht="15" thickBot="1" x14ac:dyDescent="0.35">
      <c r="B83" s="305" t="s">
        <v>185</v>
      </c>
      <c r="C83" s="322" t="str">
        <f>'1.Úvodní parametry'!$D$24</f>
        <v>Kč/rok</v>
      </c>
      <c r="D83" s="337"/>
      <c r="E83" s="337"/>
      <c r="F83" s="341">
        <v>0</v>
      </c>
      <c r="G83" s="342"/>
      <c r="H83" s="132"/>
      <c r="I83" s="152" t="s">
        <v>186</v>
      </c>
      <c r="J83" s="149">
        <f>IF($J$5='1.Úvodní parametry'!$D$3,'2. Vstupní data on-premise '!F83,'2. Vstupní data on-premise '!F83/(1+$K$4))</f>
        <v>0</v>
      </c>
      <c r="K83" s="150">
        <f>IF($K$5='1.Úvodní parametry'!$D$3,'2. Vstupní data on-premise '!F83,'2. Vstupní data on-premise '!F83*(1+$K$4))</f>
        <v>0</v>
      </c>
      <c r="L83" s="151">
        <f t="shared" si="4"/>
        <v>0</v>
      </c>
      <c r="N83" s="142" t="s">
        <v>93</v>
      </c>
    </row>
    <row r="84" spans="2:14" ht="15" thickTop="1" x14ac:dyDescent="0.3">
      <c r="B84" s="256"/>
      <c r="C84" s="309"/>
      <c r="D84" s="309"/>
      <c r="E84" s="309"/>
      <c r="F84" s="338"/>
      <c r="G84" s="304"/>
      <c r="H84" s="132"/>
      <c r="N84" s="142" t="s">
        <v>93</v>
      </c>
    </row>
    <row r="85" spans="2:14" ht="42.6" customHeight="1" x14ac:dyDescent="0.3">
      <c r="B85" s="281" t="s">
        <v>187</v>
      </c>
      <c r="C85" s="281"/>
      <c r="D85" s="282" t="s">
        <v>124</v>
      </c>
      <c r="E85" s="281"/>
      <c r="F85" s="270" t="s">
        <v>42</v>
      </c>
      <c r="G85" s="283" t="s">
        <v>19</v>
      </c>
      <c r="H85" s="132"/>
      <c r="J85" s="143" t="s">
        <v>3</v>
      </c>
      <c r="K85" s="144" t="s">
        <v>43</v>
      </c>
      <c r="L85" s="145" t="str">
        <f>'4. Kalkulace TCO a Porovnání'!$J$5</f>
        <v>v Kč včetně DPH</v>
      </c>
      <c r="N85" s="142" t="s">
        <v>93</v>
      </c>
    </row>
    <row r="86" spans="2:14" x14ac:dyDescent="0.3">
      <c r="B86" s="308" t="s">
        <v>188</v>
      </c>
      <c r="C86" s="318" t="str">
        <f>JenotkaMěny</f>
        <v>Kč</v>
      </c>
      <c r="D86" s="239" t="str">
        <f>'1.Úvodní parametry'!$D$10</f>
        <v>NE</v>
      </c>
      <c r="E86" s="309"/>
      <c r="F86" s="339">
        <v>0</v>
      </c>
      <c r="G86" s="304"/>
      <c r="H86" s="132"/>
      <c r="I86" s="152" t="s">
        <v>189</v>
      </c>
      <c r="J86" s="146">
        <f>IF($J$5='1.Úvodní parametry'!$D$3,'2. Vstupní data on-premise '!F86,'2. Vstupní data on-premise '!F86/(1+$K$4))</f>
        <v>0</v>
      </c>
      <c r="K86" s="147">
        <f>IF($K$5='1.Úvodní parametry'!$D$3,'2. Vstupní data on-premise '!F86,'2. Vstupní data on-premise '!F86*(1+$K$4))</f>
        <v>0</v>
      </c>
      <c r="L86" s="148">
        <f t="shared" ref="L86:L96" si="5">IF($L$166=$J$166,J86,K86)</f>
        <v>0</v>
      </c>
      <c r="N86" s="142" t="s">
        <v>93</v>
      </c>
    </row>
    <row r="87" spans="2:14" x14ac:dyDescent="0.3">
      <c r="B87" s="308" t="s">
        <v>190</v>
      </c>
      <c r="C87" s="318" t="str">
        <f>JenotkaMěny</f>
        <v>Kč</v>
      </c>
      <c r="D87" s="239"/>
      <c r="E87" s="309"/>
      <c r="F87" s="339">
        <v>0</v>
      </c>
      <c r="G87" s="343" t="s">
        <v>191</v>
      </c>
      <c r="H87" s="132"/>
      <c r="I87" s="152" t="s">
        <v>189</v>
      </c>
      <c r="J87" s="146">
        <f>IF($J$5='1.Úvodní parametry'!$D$3,'2. Vstupní data on-premise '!F87,'2. Vstupní data on-premise '!F87/(1+$K$4))</f>
        <v>0</v>
      </c>
      <c r="K87" s="147">
        <f>IF($K$5='1.Úvodní parametry'!$D$3,'2. Vstupní data on-premise '!F87,'2. Vstupní data on-premise '!F87*(1+$K$4))</f>
        <v>0</v>
      </c>
      <c r="L87" s="148">
        <f t="shared" si="5"/>
        <v>0</v>
      </c>
      <c r="N87" s="142" t="s">
        <v>93</v>
      </c>
    </row>
    <row r="88" spans="2:14" x14ac:dyDescent="0.3">
      <c r="B88" s="308" t="s">
        <v>192</v>
      </c>
      <c r="C88" s="318" t="str">
        <f>JenotkaMěny</f>
        <v>Kč</v>
      </c>
      <c r="D88" s="239"/>
      <c r="E88" s="309"/>
      <c r="F88" s="339">
        <v>0</v>
      </c>
      <c r="G88" s="343" t="s">
        <v>193</v>
      </c>
      <c r="H88" s="132"/>
      <c r="I88" s="152" t="s">
        <v>194</v>
      </c>
      <c r="J88" s="146">
        <f>IF($J$5='1.Úvodní parametry'!$D$3,'2. Vstupní data on-premise '!F88,'2. Vstupní data on-premise '!F88/(1+$K$4))</f>
        <v>0</v>
      </c>
      <c r="K88" s="147">
        <f>IF($K$5='1.Úvodní parametry'!$D$3,'2. Vstupní data on-premise '!F88,'2. Vstupní data on-premise '!F88*(1+$K$4))</f>
        <v>0</v>
      </c>
      <c r="L88" s="148">
        <f t="shared" si="5"/>
        <v>0</v>
      </c>
      <c r="N88" s="142" t="s">
        <v>93</v>
      </c>
    </row>
    <row r="89" spans="2:14" x14ac:dyDescent="0.3">
      <c r="B89" s="308" t="s">
        <v>195</v>
      </c>
      <c r="C89" s="318" t="str">
        <f>JenotkaMěny</f>
        <v>Kč</v>
      </c>
      <c r="D89" s="239"/>
      <c r="E89" s="309"/>
      <c r="F89" s="339">
        <v>0</v>
      </c>
      <c r="G89" s="343" t="s">
        <v>196</v>
      </c>
      <c r="H89" s="132"/>
      <c r="I89" s="152" t="s">
        <v>189</v>
      </c>
      <c r="J89" s="146">
        <f>IF($J$5='1.Úvodní parametry'!$D$3,'2. Vstupní data on-premise '!F89,'2. Vstupní data on-premise '!F89/(1+$K$4))</f>
        <v>0</v>
      </c>
      <c r="K89" s="147">
        <f>IF($K$5='1.Úvodní parametry'!$D$3,'2. Vstupní data on-premise '!F89,'2. Vstupní data on-premise '!F89*(1+$K$4))</f>
        <v>0</v>
      </c>
      <c r="L89" s="148">
        <f t="shared" si="5"/>
        <v>0</v>
      </c>
      <c r="N89" s="142" t="s">
        <v>93</v>
      </c>
    </row>
    <row r="90" spans="2:14" x14ac:dyDescent="0.3">
      <c r="B90" s="308" t="s">
        <v>197</v>
      </c>
      <c r="C90" s="318" t="str">
        <f>JenotkaMěny</f>
        <v>Kč</v>
      </c>
      <c r="D90" s="239"/>
      <c r="E90" s="309"/>
      <c r="F90" s="339">
        <v>0</v>
      </c>
      <c r="G90" s="343" t="s">
        <v>198</v>
      </c>
      <c r="H90" s="132"/>
      <c r="I90" s="152" t="s">
        <v>194</v>
      </c>
      <c r="J90" s="146">
        <f>IF($J$5='1.Úvodní parametry'!$D$3,'2. Vstupní data on-premise '!F90,'2. Vstupní data on-premise '!F90/(1+$K$4))</f>
        <v>0</v>
      </c>
      <c r="K90" s="147">
        <f>IF($K$5='1.Úvodní parametry'!$D$3,'2. Vstupní data on-premise '!F90,'2. Vstupní data on-premise '!F90*(1+$K$4))</f>
        <v>0</v>
      </c>
      <c r="L90" s="148">
        <f t="shared" si="5"/>
        <v>0</v>
      </c>
      <c r="N90" s="142" t="s">
        <v>93</v>
      </c>
    </row>
    <row r="91" spans="2:14" x14ac:dyDescent="0.3">
      <c r="B91" s="308" t="s">
        <v>199</v>
      </c>
      <c r="C91" s="288" t="str">
        <f>'1.Úvodní parametry'!$D$24</f>
        <v>Kč/rok</v>
      </c>
      <c r="D91" s="309"/>
      <c r="E91" s="309"/>
      <c r="F91" s="339">
        <v>0</v>
      </c>
      <c r="G91" s="304"/>
      <c r="H91" s="132"/>
      <c r="I91" s="152" t="s">
        <v>200</v>
      </c>
      <c r="J91" s="146">
        <f>IF($J$5='1.Úvodní parametry'!$D$3,'2. Vstupní data on-premise '!F91,'2. Vstupní data on-premise '!F91/(1+$K$4))</f>
        <v>0</v>
      </c>
      <c r="K91" s="147">
        <f>IF($K$5='1.Úvodní parametry'!$D$3,'2. Vstupní data on-premise '!F91,'2. Vstupní data on-premise '!F91*(1+$K$4))</f>
        <v>0</v>
      </c>
      <c r="L91" s="148">
        <f t="shared" si="5"/>
        <v>0</v>
      </c>
      <c r="N91" s="142" t="s">
        <v>93</v>
      </c>
    </row>
    <row r="92" spans="2:14" x14ac:dyDescent="0.3">
      <c r="B92" s="308" t="s">
        <v>201</v>
      </c>
      <c r="C92" s="288" t="str">
        <f>'1.Úvodní parametry'!$D$24</f>
        <v>Kč/rok</v>
      </c>
      <c r="D92" s="309"/>
      <c r="E92" s="309"/>
      <c r="F92" s="339">
        <v>0</v>
      </c>
      <c r="G92" s="304"/>
      <c r="H92" s="132"/>
      <c r="I92" s="152" t="s">
        <v>200</v>
      </c>
      <c r="J92" s="146">
        <f>IF($J$5='1.Úvodní parametry'!$D$3,'2. Vstupní data on-premise '!F92,'2. Vstupní data on-premise '!F92/(1+$K$4))</f>
        <v>0</v>
      </c>
      <c r="K92" s="147">
        <f>IF($K$5='1.Úvodní parametry'!$D$3,'2. Vstupní data on-premise '!F92,'2. Vstupní data on-premise '!F92*(1+$K$4))</f>
        <v>0</v>
      </c>
      <c r="L92" s="148">
        <f t="shared" si="5"/>
        <v>0</v>
      </c>
      <c r="N92" s="142" t="s">
        <v>93</v>
      </c>
    </row>
    <row r="93" spans="2:14" x14ac:dyDescent="0.3">
      <c r="B93" s="308" t="s">
        <v>202</v>
      </c>
      <c r="C93" s="288" t="str">
        <f>'1.Úvodní parametry'!$D$24</f>
        <v>Kč/rok</v>
      </c>
      <c r="D93" s="309"/>
      <c r="E93" s="309"/>
      <c r="F93" s="339">
        <v>0</v>
      </c>
      <c r="G93" s="304"/>
      <c r="H93" s="132"/>
      <c r="I93" s="178" t="s">
        <v>200</v>
      </c>
      <c r="J93" s="146">
        <f>IF($J$5='1.Úvodní parametry'!$D$3,'2. Vstupní data on-premise '!F93,'2. Vstupní data on-premise '!F93/(1+$K$4))</f>
        <v>0</v>
      </c>
      <c r="K93" s="147">
        <f>IF($K$5='1.Úvodní parametry'!$D$3,'2. Vstupní data on-premise '!F93,'2. Vstupní data on-premise '!F93*(1+$K$4))</f>
        <v>0</v>
      </c>
      <c r="L93" s="148">
        <f t="shared" si="5"/>
        <v>0</v>
      </c>
      <c r="N93" s="142" t="s">
        <v>93</v>
      </c>
    </row>
    <row r="94" spans="2:14" x14ac:dyDescent="0.3">
      <c r="B94" s="308" t="s">
        <v>203</v>
      </c>
      <c r="C94" s="288" t="str">
        <f>'1.Úvodní parametry'!$D$24</f>
        <v>Kč/rok</v>
      </c>
      <c r="D94" s="309"/>
      <c r="E94" s="309"/>
      <c r="F94" s="339">
        <v>0</v>
      </c>
      <c r="G94" s="304"/>
      <c r="H94" s="132"/>
      <c r="I94" s="152" t="s">
        <v>184</v>
      </c>
      <c r="J94" s="146">
        <f>IF($J$5='1.Úvodní parametry'!$D$3,'2. Vstupní data on-premise '!F94,'2. Vstupní data on-premise '!F94/(1+$K$4))</f>
        <v>0</v>
      </c>
      <c r="K94" s="147">
        <f>IF($K$5='1.Úvodní parametry'!$D$3,'2. Vstupní data on-premise '!F94,'2. Vstupní data on-premise '!F94*(1+$K$4))</f>
        <v>0</v>
      </c>
      <c r="L94" s="148">
        <f t="shared" si="5"/>
        <v>0</v>
      </c>
      <c r="N94" s="142" t="s">
        <v>93</v>
      </c>
    </row>
    <row r="95" spans="2:14" ht="27.6" x14ac:dyDescent="0.3">
      <c r="B95" s="311" t="s">
        <v>204</v>
      </c>
      <c r="C95" s="321" t="str">
        <f>'1.Úvodní parametry'!$D$26</f>
        <v>Hodina/rok</v>
      </c>
      <c r="D95" s="249">
        <v>2</v>
      </c>
      <c r="E95" s="289">
        <f>VLOOKUP(D95,'1.Úvodní parametry'!$D$43:$E$45,2,FALSE)</f>
        <v>657</v>
      </c>
      <c r="F95" s="247">
        <v>0</v>
      </c>
      <c r="G95" s="344"/>
      <c r="H95" s="132"/>
      <c r="I95" s="152" t="s">
        <v>205</v>
      </c>
      <c r="J95" s="162">
        <f>E95*F95</f>
        <v>0</v>
      </c>
      <c r="K95" s="163">
        <f>E95*F95</f>
        <v>0</v>
      </c>
      <c r="L95" s="164">
        <f t="shared" si="5"/>
        <v>0</v>
      </c>
      <c r="N95" s="142" t="s">
        <v>131</v>
      </c>
    </row>
    <row r="96" spans="2:14" ht="28.2" thickBot="1" x14ac:dyDescent="0.35">
      <c r="B96" s="312" t="s">
        <v>204</v>
      </c>
      <c r="C96" s="322" t="str">
        <f>'1.Úvodní parametry'!$D$24</f>
        <v>Kč/rok</v>
      </c>
      <c r="D96" s="345"/>
      <c r="E96" s="293"/>
      <c r="F96" s="248">
        <v>0</v>
      </c>
      <c r="G96" s="333"/>
      <c r="H96" s="132"/>
      <c r="I96" s="152" t="s">
        <v>205</v>
      </c>
      <c r="J96" s="157">
        <f>IF($J$5='1.Úvodní parametry'!$D$3,'2. Vstupní data on-premise '!F96,'2. Vstupní data on-premise '!F96/(1+$K$4))</f>
        <v>0</v>
      </c>
      <c r="K96" s="158">
        <f>IF($K$5='1.Úvodní parametry'!$D$3,'2. Vstupní data on-premise '!F96,'2. Vstupní data on-premise '!F96*(1+$K$4))</f>
        <v>0</v>
      </c>
      <c r="L96" s="159">
        <f t="shared" si="5"/>
        <v>0</v>
      </c>
      <c r="N96" s="142" t="s">
        <v>93</v>
      </c>
    </row>
    <row r="97" spans="2:14" ht="15" thickTop="1" x14ac:dyDescent="0.3">
      <c r="B97" s="256"/>
      <c r="C97" s="256"/>
      <c r="D97" s="256"/>
      <c r="E97" s="256"/>
      <c r="F97" s="256"/>
      <c r="G97" s="257"/>
      <c r="H97" s="132"/>
      <c r="N97" s="142" t="s">
        <v>93</v>
      </c>
    </row>
    <row r="98" spans="2:14" ht="24" customHeight="1" x14ac:dyDescent="0.3">
      <c r="B98" s="281" t="s">
        <v>206</v>
      </c>
      <c r="C98" s="281" t="s">
        <v>30</v>
      </c>
      <c r="D98" s="282" t="s">
        <v>9</v>
      </c>
      <c r="E98" s="282"/>
      <c r="F98" s="270" t="s">
        <v>42</v>
      </c>
      <c r="G98" s="283" t="s">
        <v>19</v>
      </c>
      <c r="H98" s="132"/>
      <c r="J98" s="143" t="s">
        <v>3</v>
      </c>
      <c r="K98" s="144" t="s">
        <v>43</v>
      </c>
      <c r="L98" s="145" t="str">
        <f>'4. Kalkulace TCO a Porovnání'!$J$5</f>
        <v>v Kč včetně DPH</v>
      </c>
      <c r="N98" s="142" t="s">
        <v>93</v>
      </c>
    </row>
    <row r="99" spans="2:14" x14ac:dyDescent="0.3">
      <c r="B99" s="308" t="s">
        <v>206</v>
      </c>
      <c r="C99" s="318" t="str">
        <f>JenotkaMěny</f>
        <v>Kč</v>
      </c>
      <c r="D99" s="237" t="str">
        <f>'1.Úvodní parametry'!$D$10</f>
        <v>NE</v>
      </c>
      <c r="E99" s="346"/>
      <c r="F99" s="339">
        <v>0</v>
      </c>
      <c r="G99" s="304"/>
      <c r="H99" s="132"/>
      <c r="I99" s="152" t="s">
        <v>207</v>
      </c>
      <c r="J99" s="146">
        <f>IF($J$5='1.Úvodní parametry'!$D$3,'2. Vstupní data on-premise '!F99,'2. Vstupní data on-premise '!F99/(1+$K$4))</f>
        <v>0</v>
      </c>
      <c r="K99" s="147">
        <f>IF($K$5='1.Úvodní parametry'!$D$3,'2. Vstupní data on-premise '!F99,'2. Vstupní data on-premise '!F99*(1+$K$4))</f>
        <v>0</v>
      </c>
      <c r="L99" s="148">
        <f>IF($L$166=$J$166,J99,K99)</f>
        <v>0</v>
      </c>
      <c r="N99" s="142" t="s">
        <v>93</v>
      </c>
    </row>
    <row r="100" spans="2:14" x14ac:dyDescent="0.3">
      <c r="B100" s="308" t="s">
        <v>208</v>
      </c>
      <c r="C100" s="347" t="str">
        <f>JenotkaMěny</f>
        <v>Kč</v>
      </c>
      <c r="D100" s="238" t="str">
        <f>'1.Úvodní parametry'!$D$10</f>
        <v>NE</v>
      </c>
      <c r="E100" s="346"/>
      <c r="F100" s="339">
        <v>0</v>
      </c>
      <c r="G100" s="304"/>
      <c r="H100" s="132"/>
      <c r="I100" s="152" t="s">
        <v>209</v>
      </c>
      <c r="J100" s="146">
        <f>IF($J$5='1.Úvodní parametry'!$D$3,'2. Vstupní data on-premise '!F100,'2. Vstupní data on-premise '!F100/(1+$K$4))</f>
        <v>0</v>
      </c>
      <c r="K100" s="147">
        <f>IF($K$5='1.Úvodní parametry'!$D$3,'2. Vstupní data on-premise '!F100,'2. Vstupní data on-premise '!F100*(1+$K$4))</f>
        <v>0</v>
      </c>
      <c r="L100" s="148">
        <f>IF($L$166=$J$166,J100,K100)</f>
        <v>0</v>
      </c>
      <c r="N100" s="142" t="s">
        <v>93</v>
      </c>
    </row>
    <row r="101" spans="2:14" ht="15" thickBot="1" x14ac:dyDescent="0.35">
      <c r="B101" s="348" t="s">
        <v>210</v>
      </c>
      <c r="C101" s="322" t="str">
        <f>'1.Úvodní parametry'!$D$24</f>
        <v>Kč/rok</v>
      </c>
      <c r="D101" s="349"/>
      <c r="E101" s="349"/>
      <c r="F101" s="350">
        <v>0</v>
      </c>
      <c r="G101" s="351" t="s">
        <v>211</v>
      </c>
      <c r="H101" s="132"/>
      <c r="I101" s="152" t="s">
        <v>212</v>
      </c>
      <c r="J101" s="179">
        <f>IF($J$5='1.Úvodní parametry'!$D$3,'2. Vstupní data on-premise '!F101,'2. Vstupní data on-premise '!F101/(1+$K$4))</f>
        <v>0</v>
      </c>
      <c r="K101" s="180">
        <f>IF($K$5='1.Úvodní parametry'!$D$3,'2. Vstupní data on-premise '!F101,'2. Vstupní data on-premise '!F101*(1+$K$4))</f>
        <v>0</v>
      </c>
      <c r="L101" s="181">
        <f>IF($L$166=$J$166,J101,K101)</f>
        <v>0</v>
      </c>
      <c r="N101" s="142" t="s">
        <v>93</v>
      </c>
    </row>
    <row r="102" spans="2:14" ht="15" thickTop="1" x14ac:dyDescent="0.3">
      <c r="B102" s="256"/>
      <c r="C102" s="309"/>
      <c r="D102" s="309"/>
      <c r="E102" s="309"/>
      <c r="F102" s="338"/>
      <c r="G102" s="304"/>
      <c r="H102" s="132"/>
      <c r="N102" s="142" t="s">
        <v>93</v>
      </c>
    </row>
    <row r="103" spans="2:14" ht="15.6" x14ac:dyDescent="0.3">
      <c r="B103" s="260" t="s">
        <v>213</v>
      </c>
      <c r="C103" s="263"/>
      <c r="D103" s="263"/>
      <c r="E103" s="263"/>
      <c r="F103" s="352"/>
      <c r="G103" s="353"/>
      <c r="H103" s="132"/>
      <c r="N103" s="142" t="s">
        <v>93</v>
      </c>
    </row>
    <row r="104" spans="2:14" ht="8.25" customHeight="1" thickBot="1" x14ac:dyDescent="0.35">
      <c r="B104" s="255"/>
      <c r="C104" s="263"/>
      <c r="D104" s="263"/>
      <c r="E104" s="263"/>
      <c r="F104" s="352"/>
      <c r="G104" s="353"/>
      <c r="H104" s="132"/>
      <c r="N104" s="142" t="s">
        <v>93</v>
      </c>
    </row>
    <row r="105" spans="2:14" ht="15" thickBot="1" x14ac:dyDescent="0.35">
      <c r="B105" s="264" t="s">
        <v>214</v>
      </c>
      <c r="C105" s="265"/>
      <c r="D105" s="265"/>
      <c r="E105" s="265"/>
      <c r="F105" s="266"/>
      <c r="G105" s="267"/>
      <c r="H105" s="132"/>
      <c r="N105" s="142" t="s">
        <v>93</v>
      </c>
    </row>
    <row r="106" spans="2:14" ht="25.5" customHeight="1" x14ac:dyDescent="0.3">
      <c r="B106" s="268"/>
      <c r="C106" s="268" t="s">
        <v>30</v>
      </c>
      <c r="D106" s="269" t="s">
        <v>9</v>
      </c>
      <c r="E106" s="269"/>
      <c r="F106" s="270" t="s">
        <v>42</v>
      </c>
      <c r="G106" s="271" t="s">
        <v>19</v>
      </c>
      <c r="H106" s="132"/>
      <c r="J106" s="143" t="s">
        <v>3</v>
      </c>
      <c r="K106" s="144" t="s">
        <v>43</v>
      </c>
      <c r="L106" s="145" t="str">
        <f>'4. Kalkulace TCO a Porovnání'!$J$5</f>
        <v>v Kč včetně DPH</v>
      </c>
      <c r="N106" s="142" t="s">
        <v>93</v>
      </c>
    </row>
    <row r="107" spans="2:14" x14ac:dyDescent="0.3">
      <c r="B107" s="354" t="s">
        <v>215</v>
      </c>
      <c r="C107" s="318" t="str">
        <f>JenotkaMěny</f>
        <v>Kč</v>
      </c>
      <c r="D107" s="237" t="str">
        <f>'1.Úvodní parametry'!$D$10</f>
        <v>NE</v>
      </c>
      <c r="E107" s="355"/>
      <c r="F107" s="253">
        <v>0</v>
      </c>
      <c r="G107" s="304"/>
      <c r="H107" s="132"/>
      <c r="I107" s="152" t="s">
        <v>216</v>
      </c>
      <c r="J107" s="146">
        <f>IF($J$5='1.Úvodní parametry'!$D$3,'2. Vstupní data on-premise '!F107,'2. Vstupní data on-premise '!F107/(1+$K$4))</f>
        <v>0</v>
      </c>
      <c r="K107" s="147">
        <f>IF($K$5='1.Úvodní parametry'!$D$3,'2. Vstupní data on-premise '!F107,'2. Vstupní data on-premise '!F107*(1+$K$4))</f>
        <v>0</v>
      </c>
      <c r="L107" s="148">
        <f>IF($L$166=$J$166,J107,K107)</f>
        <v>0</v>
      </c>
      <c r="N107" s="142" t="s">
        <v>93</v>
      </c>
    </row>
    <row r="108" spans="2:14" x14ac:dyDescent="0.3">
      <c r="B108" s="354" t="s">
        <v>217</v>
      </c>
      <c r="C108" s="318" t="str">
        <f>JenotkaMěny</f>
        <v>Kč</v>
      </c>
      <c r="D108" s="237" t="str">
        <f>'1.Úvodní parametry'!$D$10</f>
        <v>NE</v>
      </c>
      <c r="E108" s="355"/>
      <c r="F108" s="253">
        <v>0</v>
      </c>
      <c r="G108" s="304"/>
      <c r="H108" s="132"/>
      <c r="I108" s="152" t="s">
        <v>218</v>
      </c>
      <c r="J108" s="146">
        <f>IF($J$5='1.Úvodní parametry'!$D$3,'2. Vstupní data on-premise '!F108,'2. Vstupní data on-premise '!F108/(1+$K$4))</f>
        <v>0</v>
      </c>
      <c r="K108" s="147">
        <f>IF($K$5='1.Úvodní parametry'!$D$3,'2. Vstupní data on-premise '!F108,'2. Vstupní data on-premise '!F108*(1+$K$4))</f>
        <v>0</v>
      </c>
      <c r="L108" s="148">
        <f>IF($L$166=$J$166,J108,K108)</f>
        <v>0</v>
      </c>
      <c r="N108" s="142" t="s">
        <v>93</v>
      </c>
    </row>
    <row r="109" spans="2:14" x14ac:dyDescent="0.3">
      <c r="B109" s="354" t="s">
        <v>219</v>
      </c>
      <c r="C109" s="318" t="str">
        <f>JenotkaMěny</f>
        <v>Kč</v>
      </c>
      <c r="D109" s="237" t="str">
        <f>'1.Úvodní parametry'!$D$10</f>
        <v>NE</v>
      </c>
      <c r="E109" s="355"/>
      <c r="F109" s="253">
        <v>0</v>
      </c>
      <c r="G109" s="304"/>
      <c r="H109" s="132"/>
      <c r="I109" s="152" t="s">
        <v>220</v>
      </c>
      <c r="J109" s="146">
        <f>IF($J$5='1.Úvodní parametry'!$D$3,'2. Vstupní data on-premise '!F109,'2. Vstupní data on-premise '!F109/(1+$K$4))</f>
        <v>0</v>
      </c>
      <c r="K109" s="147">
        <f>IF($K$5='1.Úvodní parametry'!$D$3,'2. Vstupní data on-premise '!F109,'2. Vstupní data on-premise '!F109*(1+$K$4))</f>
        <v>0</v>
      </c>
      <c r="L109" s="148">
        <f>IF($L$166=$J$166,J109,K109)</f>
        <v>0</v>
      </c>
      <c r="N109" s="142" t="s">
        <v>93</v>
      </c>
    </row>
    <row r="110" spans="2:14" x14ac:dyDescent="0.3">
      <c r="B110" s="354" t="s">
        <v>221</v>
      </c>
      <c r="C110" s="347" t="str">
        <f>JenotkaMěny</f>
        <v>Kč</v>
      </c>
      <c r="D110" s="237" t="str">
        <f>'1.Úvodní parametry'!$D$10</f>
        <v>NE</v>
      </c>
      <c r="E110" s="346"/>
      <c r="F110" s="253">
        <v>0</v>
      </c>
      <c r="G110" s="304"/>
      <c r="H110" s="132"/>
      <c r="I110" s="178" t="s">
        <v>218</v>
      </c>
      <c r="J110" s="146">
        <f>IF($J$5='1.Úvodní parametry'!$D$3,'2. Vstupní data on-premise '!F110,'2. Vstupní data on-premise '!F110/(1+$K$4))</f>
        <v>0</v>
      </c>
      <c r="K110" s="147">
        <f>IF($K$5='1.Úvodní parametry'!$D$3,'2. Vstupní data on-premise '!F110,'2. Vstupní data on-premise '!F110*(1+$K$4))</f>
        <v>0</v>
      </c>
      <c r="L110" s="148">
        <f>IF($L$166=$J$166,J110,K110)</f>
        <v>0</v>
      </c>
      <c r="N110" s="142" t="s">
        <v>93</v>
      </c>
    </row>
    <row r="111" spans="2:14" ht="15" thickBot="1" x14ac:dyDescent="0.35">
      <c r="B111" s="348" t="s">
        <v>222</v>
      </c>
      <c r="C111" s="322" t="str">
        <f>'1.Úvodní parametry'!$D$24</f>
        <v>Kč/rok</v>
      </c>
      <c r="D111" s="356"/>
      <c r="E111" s="356"/>
      <c r="F111" s="357">
        <v>0</v>
      </c>
      <c r="G111" s="358"/>
      <c r="H111" s="132"/>
      <c r="I111" s="152" t="s">
        <v>223</v>
      </c>
      <c r="J111" s="149">
        <f>IF($J$5='1.Úvodní parametry'!$D$3,'2. Vstupní data on-premise '!F111,'2. Vstupní data on-premise '!F111/(1+$K$4))</f>
        <v>0</v>
      </c>
      <c r="K111" s="150">
        <f>IF($K$5='1.Úvodní parametry'!$D$3,'2. Vstupní data on-premise '!F111,'2. Vstupní data on-premise '!F111*(1+$K$4))</f>
        <v>0</v>
      </c>
      <c r="L111" s="151">
        <f>IF($L$166=$J$166,J111,K111)</f>
        <v>0</v>
      </c>
      <c r="N111" s="142" t="s">
        <v>93</v>
      </c>
    </row>
    <row r="112" spans="2:14" ht="15.6" thickTop="1" thickBot="1" x14ac:dyDescent="0.35">
      <c r="B112" s="256"/>
      <c r="C112" s="309"/>
      <c r="D112" s="309"/>
      <c r="E112" s="309"/>
      <c r="F112" s="338"/>
      <c r="G112" s="304"/>
      <c r="H112" s="132"/>
      <c r="N112" s="142" t="s">
        <v>93</v>
      </c>
    </row>
    <row r="113" spans="2:14" ht="15" thickBot="1" x14ac:dyDescent="0.35">
      <c r="B113" s="264" t="s">
        <v>224</v>
      </c>
      <c r="C113" s="265"/>
      <c r="D113" s="265"/>
      <c r="E113" s="265"/>
      <c r="F113" s="266"/>
      <c r="G113" s="267"/>
      <c r="H113" s="132"/>
      <c r="N113" s="142" t="s">
        <v>93</v>
      </c>
    </row>
    <row r="114" spans="2:14" x14ac:dyDescent="0.3">
      <c r="B114" s="268"/>
      <c r="C114" s="268" t="s">
        <v>30</v>
      </c>
      <c r="D114" s="268"/>
      <c r="E114" s="268"/>
      <c r="F114" s="270" t="s">
        <v>42</v>
      </c>
      <c r="G114" s="271" t="s">
        <v>19</v>
      </c>
      <c r="H114" s="132"/>
      <c r="J114" s="143" t="s">
        <v>3</v>
      </c>
      <c r="K114" s="144" t="s">
        <v>43</v>
      </c>
      <c r="L114" s="145" t="str">
        <f>'4. Kalkulace TCO a Porovnání'!$J$5</f>
        <v>v Kč včetně DPH</v>
      </c>
      <c r="N114" s="142" t="s">
        <v>93</v>
      </c>
    </row>
    <row r="115" spans="2:14" x14ac:dyDescent="0.3">
      <c r="B115" s="308" t="s">
        <v>225</v>
      </c>
      <c r="C115" s="302" t="str">
        <f>'1.Úvodní parametry'!$D$28</f>
        <v>Kč/1kWh</v>
      </c>
      <c r="D115" s="302"/>
      <c r="E115" s="302"/>
      <c r="F115" s="253">
        <v>9.9</v>
      </c>
      <c r="G115" s="304" t="s">
        <v>226</v>
      </c>
      <c r="H115" s="132"/>
      <c r="I115" s="152" t="s">
        <v>227</v>
      </c>
      <c r="J115" s="182">
        <f>IF($J$5='1.Úvodní parametry'!$D$3,'2. Vstupní data on-premise '!F115,'2. Vstupní data on-premise '!F115/(1+$K$4))</f>
        <v>8.1818181818181817</v>
      </c>
      <c r="K115" s="183">
        <f>IF($K$5='1.Úvodní parametry'!$D$3,'2. Vstupní data on-premise '!F115,'2. Vstupní data on-premise '!F115*(1+$K$4))</f>
        <v>9.9</v>
      </c>
      <c r="L115" s="184">
        <f>IF($L$166=$J$166,J115,K115)</f>
        <v>9.9</v>
      </c>
      <c r="N115" s="142" t="s">
        <v>93</v>
      </c>
    </row>
    <row r="116" spans="2:14" x14ac:dyDescent="0.3">
      <c r="B116" s="308" t="s">
        <v>228</v>
      </c>
      <c r="C116" s="302" t="str">
        <f>'1.Úvodní parametry'!$D$33</f>
        <v>kWh</v>
      </c>
      <c r="D116" s="302"/>
      <c r="E116" s="302"/>
      <c r="F116" s="253">
        <v>0</v>
      </c>
      <c r="G116" s="304"/>
      <c r="H116" s="132"/>
      <c r="I116" s="152" t="s">
        <v>229</v>
      </c>
      <c r="J116" s="146">
        <f>J115*SpotrebaElektrinyServerRok</f>
        <v>0</v>
      </c>
      <c r="K116" s="147">
        <f>K115*SpotrebaElektrinyServerRok</f>
        <v>0</v>
      </c>
      <c r="L116" s="148">
        <f>IF($L$166=$J$166,J116,K116)</f>
        <v>0</v>
      </c>
      <c r="N116" s="142" t="s">
        <v>93</v>
      </c>
    </row>
    <row r="117" spans="2:14" x14ac:dyDescent="0.3">
      <c r="B117" s="308" t="s">
        <v>230</v>
      </c>
      <c r="C117" s="302" t="str">
        <f>'1.Úvodní parametry'!$D$33</f>
        <v>kWh</v>
      </c>
      <c r="D117" s="309"/>
      <c r="E117" s="309"/>
      <c r="F117" s="253">
        <v>0</v>
      </c>
      <c r="G117" s="310"/>
      <c r="H117" s="132"/>
      <c r="I117" s="152" t="s">
        <v>231</v>
      </c>
      <c r="J117" s="146">
        <f>J115*SpotrebaElektrinyUlozisteRok</f>
        <v>0</v>
      </c>
      <c r="K117" s="147">
        <f>K115*SpotrebaElektrinyUlozisteRok</f>
        <v>0</v>
      </c>
      <c r="L117" s="148">
        <f>IF($L$166=$J$166,J117,K117)</f>
        <v>0</v>
      </c>
      <c r="N117" s="142" t="s">
        <v>93</v>
      </c>
    </row>
    <row r="118" spans="2:14" ht="15" thickBot="1" x14ac:dyDescent="0.35">
      <c r="B118" s="308" t="s">
        <v>232</v>
      </c>
      <c r="C118" s="302" t="str">
        <f>'1.Úvodní parametry'!$D$33</f>
        <v>kWh</v>
      </c>
      <c r="D118" s="309"/>
      <c r="E118" s="309"/>
      <c r="F118" s="253">
        <v>0</v>
      </c>
      <c r="G118" s="310"/>
      <c r="H118" s="132"/>
      <c r="I118" s="152" t="s">
        <v>233</v>
      </c>
      <c r="J118" s="149">
        <f>J115*SpotrebaElektrinyOstatni</f>
        <v>0</v>
      </c>
      <c r="K118" s="150">
        <f>K115*SpotrebaElektrinyOstatni</f>
        <v>0</v>
      </c>
      <c r="L118" s="151">
        <f>IF($L$166=$J$166,J118,K118)</f>
        <v>0</v>
      </c>
      <c r="N118" s="142" t="s">
        <v>93</v>
      </c>
    </row>
    <row r="119" spans="2:14" ht="28.8" thickTop="1" thickBot="1" x14ac:dyDescent="0.35">
      <c r="B119" s="348" t="s">
        <v>234</v>
      </c>
      <c r="C119" s="356" t="str">
        <f>JenotkaMěny</f>
        <v>Kč</v>
      </c>
      <c r="D119" s="356"/>
      <c r="E119" s="356"/>
      <c r="F119" s="359">
        <v>0</v>
      </c>
      <c r="G119" s="360" t="s">
        <v>235</v>
      </c>
      <c r="H119" s="132"/>
      <c r="I119" s="152" t="s">
        <v>236</v>
      </c>
      <c r="J119" s="149">
        <f>IF($J$5='1.Úvodní parametry'!$D$3,'2. Vstupní data on-premise '!F119,'2. Vstupní data on-premise '!F119/(1+$K$4))</f>
        <v>0</v>
      </c>
      <c r="K119" s="150">
        <f>IF($K$5='1.Úvodní parametry'!$D$3,'2. Vstupní data on-premise '!F119,'2. Vstupní data on-premise '!F119*(1+$K$4))</f>
        <v>0</v>
      </c>
      <c r="L119" s="151">
        <f>IF($L$166=$J$166,J119,K119)</f>
        <v>0</v>
      </c>
      <c r="N119" s="142" t="s">
        <v>93</v>
      </c>
    </row>
    <row r="120" spans="2:14" ht="15" thickTop="1" x14ac:dyDescent="0.3">
      <c r="B120" s="256"/>
      <c r="C120" s="256"/>
      <c r="D120" s="256"/>
      <c r="E120" s="256"/>
      <c r="F120" s="256"/>
      <c r="G120" s="361"/>
      <c r="H120" s="132"/>
      <c r="N120" s="142" t="s">
        <v>93</v>
      </c>
    </row>
    <row r="121" spans="2:14" ht="15.6" x14ac:dyDescent="0.3">
      <c r="B121" s="260" t="s">
        <v>237</v>
      </c>
      <c r="C121" s="309"/>
      <c r="D121" s="309"/>
      <c r="E121" s="309"/>
      <c r="F121" s="362"/>
      <c r="G121" s="363"/>
      <c r="H121" s="132"/>
      <c r="N121" s="142" t="s">
        <v>93</v>
      </c>
    </row>
    <row r="122" spans="2:14" ht="5.25" customHeight="1" thickBot="1" x14ac:dyDescent="0.35">
      <c r="B122" s="255"/>
      <c r="C122" s="255"/>
      <c r="D122" s="255"/>
      <c r="E122" s="255"/>
      <c r="F122" s="261"/>
      <c r="G122" s="361"/>
      <c r="H122" s="132"/>
      <c r="N122" s="142" t="s">
        <v>93</v>
      </c>
    </row>
    <row r="123" spans="2:14" ht="15" thickBot="1" x14ac:dyDescent="0.35">
      <c r="B123" s="264" t="s">
        <v>238</v>
      </c>
      <c r="C123" s="265"/>
      <c r="D123" s="265"/>
      <c r="E123" s="265"/>
      <c r="F123" s="266"/>
      <c r="G123" s="267"/>
      <c r="H123" s="132"/>
      <c r="N123" s="142" t="s">
        <v>93</v>
      </c>
    </row>
    <row r="124" spans="2:14" x14ac:dyDescent="0.3">
      <c r="B124" s="268"/>
      <c r="C124" s="297" t="s">
        <v>30</v>
      </c>
      <c r="D124" s="364" t="s">
        <v>239</v>
      </c>
      <c r="E124" s="297" t="s">
        <v>240</v>
      </c>
      <c r="F124" s="270" t="s">
        <v>42</v>
      </c>
      <c r="G124" s="285" t="s">
        <v>19</v>
      </c>
      <c r="H124" s="132"/>
      <c r="J124" s="143" t="s">
        <v>3</v>
      </c>
      <c r="K124" s="144" t="s">
        <v>43</v>
      </c>
      <c r="L124" s="145" t="str">
        <f>'4. Kalkulace TCO a Porovnání'!$J$5</f>
        <v>v Kč včetně DPH</v>
      </c>
      <c r="N124" s="142" t="s">
        <v>93</v>
      </c>
    </row>
    <row r="125" spans="2:14" ht="25.5" customHeight="1" x14ac:dyDescent="0.3">
      <c r="B125" s="365" t="s">
        <v>241</v>
      </c>
      <c r="C125" s="308" t="str">
        <f>'1.Úvodní parametry'!$D$26</f>
        <v>Hodina/rok</v>
      </c>
      <c r="D125" s="252">
        <v>2</v>
      </c>
      <c r="E125" s="303">
        <f>VLOOKUP(D125,'1.Úvodní parametry'!$D$43:$E$45,2,FALSE)</f>
        <v>657</v>
      </c>
      <c r="F125" s="71">
        <v>0</v>
      </c>
      <c r="G125" s="366"/>
      <c r="H125" s="132"/>
      <c r="I125" s="152" t="s">
        <v>242</v>
      </c>
      <c r="J125" s="146">
        <f>E125*F125</f>
        <v>0</v>
      </c>
      <c r="K125" s="147">
        <f>E125*F125</f>
        <v>0</v>
      </c>
      <c r="L125" s="148">
        <f>IF($L$166=$J$166,J125,K125)</f>
        <v>0</v>
      </c>
      <c r="N125" s="142" t="s">
        <v>243</v>
      </c>
    </row>
    <row r="126" spans="2:14" x14ac:dyDescent="0.3">
      <c r="B126" s="365" t="s">
        <v>244</v>
      </c>
      <c r="C126" s="308" t="str">
        <f>'1.Úvodní parametry'!$D$26</f>
        <v>Hodina/rok</v>
      </c>
      <c r="D126" s="252">
        <v>1</v>
      </c>
      <c r="E126" s="303">
        <f>VLOOKUP(D126,'1.Úvodní parametry'!$D$43:$E$45,2,FALSE)</f>
        <v>608</v>
      </c>
      <c r="F126" s="71">
        <v>0</v>
      </c>
      <c r="G126" s="366"/>
      <c r="H126" s="132"/>
      <c r="I126" s="178" t="s">
        <v>242</v>
      </c>
      <c r="J126" s="146">
        <f t="shared" ref="J126:J127" si="6">E126*F126</f>
        <v>0</v>
      </c>
      <c r="K126" s="147">
        <f t="shared" ref="K126:K127" si="7">E126*F126</f>
        <v>0</v>
      </c>
      <c r="L126" s="148">
        <f>IF($L$166=$J$166,J126,K126)</f>
        <v>0</v>
      </c>
      <c r="N126" s="142" t="s">
        <v>243</v>
      </c>
    </row>
    <row r="127" spans="2:14" ht="15" customHeight="1" x14ac:dyDescent="0.3">
      <c r="B127" s="365" t="s">
        <v>245</v>
      </c>
      <c r="C127" s="308" t="str">
        <f>'1.Úvodní parametry'!$D$26</f>
        <v>Hodina/rok</v>
      </c>
      <c r="D127" s="252">
        <v>3</v>
      </c>
      <c r="E127" s="303">
        <f>VLOOKUP(D127,'1.Úvodní parametry'!$D$43:$E$45,2,FALSE)</f>
        <v>709</v>
      </c>
      <c r="F127" s="71">
        <v>0</v>
      </c>
      <c r="G127" s="366"/>
      <c r="H127" s="132"/>
      <c r="I127" s="178" t="s">
        <v>242</v>
      </c>
      <c r="J127" s="146">
        <f t="shared" si="6"/>
        <v>0</v>
      </c>
      <c r="K127" s="147">
        <f t="shared" si="7"/>
        <v>0</v>
      </c>
      <c r="L127" s="148">
        <f>IF($L$166=$J$166,J127,K127)</f>
        <v>0</v>
      </c>
      <c r="N127" s="142" t="s">
        <v>243</v>
      </c>
    </row>
    <row r="128" spans="2:14" ht="15.6" customHeight="1" thickBot="1" x14ac:dyDescent="0.35">
      <c r="B128" s="365" t="s">
        <v>246</v>
      </c>
      <c r="C128" s="308" t="str">
        <f>'1.Úvodní parametry'!$D$24</f>
        <v>Kč/rok</v>
      </c>
      <c r="D128" s="367"/>
      <c r="E128" s="303"/>
      <c r="F128" s="71">
        <v>0</v>
      </c>
      <c r="G128" s="366"/>
      <c r="H128" s="132"/>
      <c r="I128" s="178" t="s">
        <v>242</v>
      </c>
      <c r="J128" s="149">
        <f>IF($J$5='1.Úvodní parametry'!$D$3,'2. Vstupní data on-premise '!F128,'2. Vstupní data on-premise '!F128/(1+$K$4))</f>
        <v>0</v>
      </c>
      <c r="K128" s="150">
        <f>IF($K$5='1.Úvodní parametry'!$D$3,'2. Vstupní data on-premise '!F128,'2. Vstupní data on-premise '!F128*(1+$K$4))</f>
        <v>0</v>
      </c>
      <c r="L128" s="151">
        <f>IF($L$166=$J$166,J128,K128)</f>
        <v>0</v>
      </c>
      <c r="N128" s="142" t="s">
        <v>93</v>
      </c>
    </row>
    <row r="129" spans="2:14" ht="15.6" thickTop="1" thickBot="1" x14ac:dyDescent="0.35">
      <c r="B129" s="368" t="s">
        <v>247</v>
      </c>
      <c r="C129" s="348" t="str">
        <f>'1.Úvodní parametry'!$D$24</f>
        <v>Kč/rok</v>
      </c>
      <c r="D129" s="348"/>
      <c r="E129" s="348"/>
      <c r="F129" s="480">
        <f>IF($J$166='1.Úvodní parametry'!$D$3,J129,K129)</f>
        <v>0</v>
      </c>
      <c r="G129" s="369" t="s">
        <v>248</v>
      </c>
      <c r="H129" s="132"/>
      <c r="J129" s="185">
        <f>SUM(J125:J128)</f>
        <v>0</v>
      </c>
      <c r="K129" s="186">
        <f>SUM(K125:K128)</f>
        <v>0</v>
      </c>
      <c r="L129" s="187">
        <f>SUM(L125:L128)</f>
        <v>0</v>
      </c>
      <c r="N129" s="142" t="s">
        <v>93</v>
      </c>
    </row>
    <row r="130" spans="2:14" ht="15.6" thickTop="1" thickBot="1" x14ac:dyDescent="0.35">
      <c r="B130" s="370"/>
      <c r="C130" s="262"/>
      <c r="D130" s="262"/>
      <c r="E130" s="262"/>
      <c r="F130" s="371"/>
      <c r="G130" s="361"/>
      <c r="H130" s="132"/>
      <c r="N130" s="142" t="s">
        <v>93</v>
      </c>
    </row>
    <row r="131" spans="2:14" ht="15" thickBot="1" x14ac:dyDescent="0.35">
      <c r="B131" s="372" t="s">
        <v>249</v>
      </c>
      <c r="C131" s="265"/>
      <c r="D131" s="265"/>
      <c r="E131" s="265"/>
      <c r="F131" s="373"/>
      <c r="G131" s="267"/>
      <c r="H131" s="132"/>
      <c r="N131" s="142" t="s">
        <v>93</v>
      </c>
    </row>
    <row r="132" spans="2:14" x14ac:dyDescent="0.3">
      <c r="B132" s="268"/>
      <c r="C132" s="297" t="s">
        <v>30</v>
      </c>
      <c r="D132" s="364" t="s">
        <v>239</v>
      </c>
      <c r="E132" s="297" t="s">
        <v>240</v>
      </c>
      <c r="F132" s="270" t="s">
        <v>42</v>
      </c>
      <c r="G132" s="285" t="s">
        <v>19</v>
      </c>
      <c r="H132" s="132"/>
      <c r="J132" s="143" t="s">
        <v>3</v>
      </c>
      <c r="K132" s="144" t="s">
        <v>43</v>
      </c>
      <c r="L132" s="145" t="str">
        <f>'4. Kalkulace TCO a Porovnání'!$J$5</f>
        <v>v Kč včetně DPH</v>
      </c>
      <c r="N132" s="142" t="s">
        <v>93</v>
      </c>
    </row>
    <row r="133" spans="2:14" ht="22.95" customHeight="1" x14ac:dyDescent="0.3">
      <c r="B133" s="365" t="s">
        <v>250</v>
      </c>
      <c r="C133" s="308" t="str">
        <f>'1.Úvodní parametry'!$D$26</f>
        <v>Hodina/rok</v>
      </c>
      <c r="D133" s="252">
        <v>1</v>
      </c>
      <c r="E133" s="303">
        <f>VLOOKUP(D133,'1.Úvodní parametry'!$D$43:$E$45,2,FALSE)</f>
        <v>608</v>
      </c>
      <c r="F133" s="374">
        <v>0</v>
      </c>
      <c r="G133" s="366"/>
      <c r="H133" s="132"/>
      <c r="I133" s="188" t="s">
        <v>251</v>
      </c>
      <c r="J133" s="146">
        <f>E133*F133</f>
        <v>0</v>
      </c>
      <c r="K133" s="147">
        <f>E133*F133</f>
        <v>0</v>
      </c>
      <c r="L133" s="148">
        <f>IF($L$4=$J$4,J133,K133)</f>
        <v>0</v>
      </c>
      <c r="N133" s="142" t="s">
        <v>243</v>
      </c>
    </row>
    <row r="134" spans="2:14" ht="18" customHeight="1" x14ac:dyDescent="0.3">
      <c r="B134" s="365" t="s">
        <v>252</v>
      </c>
      <c r="C134" s="308" t="str">
        <f>'1.Úvodní parametry'!$D$26</f>
        <v>Hodina/rok</v>
      </c>
      <c r="D134" s="252">
        <v>2</v>
      </c>
      <c r="E134" s="303">
        <f>VLOOKUP(D134,'1.Úvodní parametry'!$D$43:$E$45,2,FALSE)</f>
        <v>657</v>
      </c>
      <c r="F134" s="374">
        <v>0</v>
      </c>
      <c r="G134" s="366"/>
      <c r="H134" s="132"/>
      <c r="I134" s="188" t="s">
        <v>253</v>
      </c>
      <c r="J134" s="146">
        <f>E134*F134</f>
        <v>0</v>
      </c>
      <c r="K134" s="147">
        <f>E134*F134</f>
        <v>0</v>
      </c>
      <c r="L134" s="148">
        <f>IF($L$4=$J$4,J134,K134)</f>
        <v>0</v>
      </c>
      <c r="N134" s="142" t="s">
        <v>243</v>
      </c>
    </row>
    <row r="135" spans="2:14" ht="14.4" customHeight="1" x14ac:dyDescent="0.3">
      <c r="B135" s="365" t="s">
        <v>254</v>
      </c>
      <c r="C135" s="308" t="str">
        <f>'1.Úvodní parametry'!$D$26</f>
        <v>Hodina/rok</v>
      </c>
      <c r="D135" s="252">
        <v>3</v>
      </c>
      <c r="E135" s="303">
        <f>VLOOKUP(D135,'1.Úvodní parametry'!$D$43:$E$45,2,FALSE)</f>
        <v>709</v>
      </c>
      <c r="F135" s="374">
        <v>0</v>
      </c>
      <c r="G135" s="366"/>
      <c r="H135" s="132"/>
      <c r="I135" s="188" t="s">
        <v>255</v>
      </c>
      <c r="J135" s="146">
        <f t="shared" ref="J135:J146" si="8">E135*F135</f>
        <v>0</v>
      </c>
      <c r="K135" s="147">
        <f t="shared" ref="K135:K146" si="9">E135*F135</f>
        <v>0</v>
      </c>
      <c r="L135" s="148">
        <f t="shared" ref="L135:L146" si="10">IF($L$4=$J$4,J135,K135)</f>
        <v>0</v>
      </c>
      <c r="N135" s="142" t="s">
        <v>243</v>
      </c>
    </row>
    <row r="136" spans="2:14" ht="14.4" customHeight="1" x14ac:dyDescent="0.3">
      <c r="B136" s="365" t="s">
        <v>256</v>
      </c>
      <c r="C136" s="308" t="str">
        <f>'1.Úvodní parametry'!$D$26</f>
        <v>Hodina/rok</v>
      </c>
      <c r="D136" s="252">
        <v>3</v>
      </c>
      <c r="E136" s="303">
        <f>VLOOKUP(D136,'1.Úvodní parametry'!$D$43:$E$45,2,FALSE)</f>
        <v>709</v>
      </c>
      <c r="F136" s="374">
        <v>0</v>
      </c>
      <c r="G136" s="366"/>
      <c r="H136" s="132"/>
      <c r="I136" s="188" t="s">
        <v>257</v>
      </c>
      <c r="J136" s="146">
        <f>E136*F136</f>
        <v>0</v>
      </c>
      <c r="K136" s="147">
        <f>E136*F136</f>
        <v>0</v>
      </c>
      <c r="L136" s="148">
        <f>IF($L$4=$J$4,J136,K136)</f>
        <v>0</v>
      </c>
      <c r="N136" s="142" t="s">
        <v>243</v>
      </c>
    </row>
    <row r="137" spans="2:14" x14ac:dyDescent="0.3">
      <c r="B137" s="365" t="s">
        <v>258</v>
      </c>
      <c r="C137" s="308" t="str">
        <f>'1.Úvodní parametry'!$D$26</f>
        <v>Hodina/rok</v>
      </c>
      <c r="D137" s="252">
        <v>1</v>
      </c>
      <c r="E137" s="303">
        <f>VLOOKUP(D137,'1.Úvodní parametry'!$D$43:$E$45,2,FALSE)</f>
        <v>608</v>
      </c>
      <c r="F137" s="374">
        <v>0</v>
      </c>
      <c r="G137" s="366"/>
      <c r="H137" s="132"/>
      <c r="I137" s="188" t="s">
        <v>259</v>
      </c>
      <c r="J137" s="146">
        <f t="shared" si="8"/>
        <v>0</v>
      </c>
      <c r="K137" s="147">
        <f t="shared" si="9"/>
        <v>0</v>
      </c>
      <c r="L137" s="148">
        <f t="shared" si="10"/>
        <v>0</v>
      </c>
      <c r="N137" s="142" t="s">
        <v>243</v>
      </c>
    </row>
    <row r="138" spans="2:14" x14ac:dyDescent="0.3">
      <c r="B138" s="365" t="s">
        <v>260</v>
      </c>
      <c r="C138" s="308" t="str">
        <f>'1.Úvodní parametry'!$D$26</f>
        <v>Hodina/rok</v>
      </c>
      <c r="D138" s="252">
        <v>2</v>
      </c>
      <c r="E138" s="303">
        <f>VLOOKUP(D138,'1.Úvodní parametry'!$D$43:$E$45,2,FALSE)</f>
        <v>657</v>
      </c>
      <c r="F138" s="374">
        <v>0</v>
      </c>
      <c r="G138" s="366"/>
      <c r="H138" s="132"/>
      <c r="I138" s="188" t="s">
        <v>261</v>
      </c>
      <c r="J138" s="146">
        <f>E138*F138</f>
        <v>0</v>
      </c>
      <c r="K138" s="147">
        <f>E138*F138</f>
        <v>0</v>
      </c>
      <c r="L138" s="148">
        <f>IF($L$4=$J$4,J138,K138)</f>
        <v>0</v>
      </c>
      <c r="N138" s="142" t="s">
        <v>243</v>
      </c>
    </row>
    <row r="139" spans="2:14" x14ac:dyDescent="0.3">
      <c r="B139" s="365" t="s">
        <v>262</v>
      </c>
      <c r="C139" s="308" t="str">
        <f>'1.Úvodní parametry'!$D$26</f>
        <v>Hodina/rok</v>
      </c>
      <c r="D139" s="252">
        <v>2</v>
      </c>
      <c r="E139" s="303">
        <f>VLOOKUP(D139,'1.Úvodní parametry'!$D$43:$E$45,2,FALSE)</f>
        <v>657</v>
      </c>
      <c r="F139" s="374">
        <v>0</v>
      </c>
      <c r="G139" s="366"/>
      <c r="H139" s="132"/>
      <c r="I139" s="188" t="s">
        <v>263</v>
      </c>
      <c r="J139" s="146">
        <f t="shared" si="8"/>
        <v>0</v>
      </c>
      <c r="K139" s="147">
        <f t="shared" si="9"/>
        <v>0</v>
      </c>
      <c r="L139" s="148">
        <f t="shared" si="10"/>
        <v>0</v>
      </c>
      <c r="N139" s="142" t="s">
        <v>243</v>
      </c>
    </row>
    <row r="140" spans="2:14" x14ac:dyDescent="0.3">
      <c r="B140" s="365" t="s">
        <v>264</v>
      </c>
      <c r="C140" s="308" t="str">
        <f>'1.Úvodní parametry'!$D$26</f>
        <v>Hodina/rok</v>
      </c>
      <c r="D140" s="252">
        <v>2</v>
      </c>
      <c r="E140" s="303">
        <f>VLOOKUP(D140,'1.Úvodní parametry'!$D$43:$E$45,2,FALSE)</f>
        <v>657</v>
      </c>
      <c r="F140" s="374">
        <v>0</v>
      </c>
      <c r="G140" s="366"/>
      <c r="H140" s="132"/>
      <c r="I140" s="188" t="s">
        <v>265</v>
      </c>
      <c r="J140" s="146">
        <f>E140*F140</f>
        <v>0</v>
      </c>
      <c r="K140" s="147">
        <f>E140*F140</f>
        <v>0</v>
      </c>
      <c r="L140" s="148">
        <f>IF($L$4=$J$4,J140,K140)</f>
        <v>0</v>
      </c>
      <c r="N140" s="142" t="s">
        <v>243</v>
      </c>
    </row>
    <row r="141" spans="2:14" x14ac:dyDescent="0.3">
      <c r="B141" s="365" t="s">
        <v>266</v>
      </c>
      <c r="C141" s="308" t="str">
        <f>'1.Úvodní parametry'!$D$26</f>
        <v>Hodina/rok</v>
      </c>
      <c r="D141" s="252">
        <v>2</v>
      </c>
      <c r="E141" s="303">
        <f>VLOOKUP(D141,'1.Úvodní parametry'!$D$43:$E$45,2,FALSE)</f>
        <v>657</v>
      </c>
      <c r="F141" s="374">
        <v>0</v>
      </c>
      <c r="G141" s="366"/>
      <c r="H141" s="132"/>
      <c r="I141" s="188" t="s">
        <v>267</v>
      </c>
      <c r="J141" s="146">
        <f t="shared" si="8"/>
        <v>0</v>
      </c>
      <c r="K141" s="147">
        <f t="shared" si="9"/>
        <v>0</v>
      </c>
      <c r="L141" s="148">
        <f t="shared" si="10"/>
        <v>0</v>
      </c>
      <c r="N141" s="142" t="s">
        <v>243</v>
      </c>
    </row>
    <row r="142" spans="2:14" x14ac:dyDescent="0.3">
      <c r="B142" s="324" t="s">
        <v>268</v>
      </c>
      <c r="C142" s="308" t="str">
        <f>'1.Úvodní parametry'!$D$26</f>
        <v>Hodina/rok</v>
      </c>
      <c r="D142" s="252">
        <v>2</v>
      </c>
      <c r="E142" s="303">
        <f>VLOOKUP(D142,'1.Úvodní parametry'!$D$43:$E$45,2,FALSE)</f>
        <v>657</v>
      </c>
      <c r="F142" s="374">
        <v>0</v>
      </c>
      <c r="G142" s="366"/>
      <c r="H142" s="132"/>
      <c r="I142" s="188" t="s">
        <v>257</v>
      </c>
      <c r="J142" s="146">
        <f>E142*F142</f>
        <v>0</v>
      </c>
      <c r="K142" s="147">
        <f>E142*F142</f>
        <v>0</v>
      </c>
      <c r="L142" s="148">
        <f>IF($L$4=$J$4,J142,K142)</f>
        <v>0</v>
      </c>
      <c r="N142" s="142" t="s">
        <v>243</v>
      </c>
    </row>
    <row r="143" spans="2:14" x14ac:dyDescent="0.3">
      <c r="B143" s="365" t="s">
        <v>269</v>
      </c>
      <c r="C143" s="308" t="str">
        <f>'1.Úvodní parametry'!$D$26</f>
        <v>Hodina/rok</v>
      </c>
      <c r="D143" s="252">
        <v>2</v>
      </c>
      <c r="E143" s="303">
        <f>VLOOKUP(D143,'1.Úvodní parametry'!$D$43:$E$45,2,FALSE)</f>
        <v>657</v>
      </c>
      <c r="F143" s="374">
        <v>0</v>
      </c>
      <c r="G143" s="366"/>
      <c r="H143" s="132"/>
      <c r="I143" s="188" t="s">
        <v>270</v>
      </c>
      <c r="J143" s="146">
        <f>E143*F143</f>
        <v>0</v>
      </c>
      <c r="K143" s="147">
        <f>E143*F143</f>
        <v>0</v>
      </c>
      <c r="L143" s="148">
        <f>IF($L$4=$J$4,J143,K143)</f>
        <v>0</v>
      </c>
      <c r="N143" s="142" t="s">
        <v>243</v>
      </c>
    </row>
    <row r="144" spans="2:14" x14ac:dyDescent="0.3">
      <c r="B144" s="365" t="s">
        <v>271</v>
      </c>
      <c r="C144" s="308" t="str">
        <f>'1.Úvodní parametry'!$D$26</f>
        <v>Hodina/rok</v>
      </c>
      <c r="D144" s="252">
        <v>3</v>
      </c>
      <c r="E144" s="303">
        <f>VLOOKUP(D144,'1.Úvodní parametry'!$D$43:$E$45,2,FALSE)</f>
        <v>709</v>
      </c>
      <c r="F144" s="374">
        <v>0</v>
      </c>
      <c r="G144" s="366"/>
      <c r="H144" s="132"/>
      <c r="I144" s="188" t="s">
        <v>272</v>
      </c>
      <c r="J144" s="146">
        <f>E144*F144</f>
        <v>0</v>
      </c>
      <c r="K144" s="147">
        <f>E144*F144</f>
        <v>0</v>
      </c>
      <c r="L144" s="148">
        <f>IF($L$4=$J$4,J144,K144)</f>
        <v>0</v>
      </c>
      <c r="N144" s="142" t="s">
        <v>243</v>
      </c>
    </row>
    <row r="145" spans="2:15" x14ac:dyDescent="0.3">
      <c r="B145" s="365" t="s">
        <v>273</v>
      </c>
      <c r="C145" s="308" t="str">
        <f>'1.Úvodní parametry'!$D$26</f>
        <v>Hodina/rok</v>
      </c>
      <c r="D145" s="252">
        <v>3</v>
      </c>
      <c r="E145" s="303">
        <f>VLOOKUP(D145,'1.Úvodní parametry'!$D$43:$E$45,2,FALSE)</f>
        <v>709</v>
      </c>
      <c r="F145" s="374">
        <v>0</v>
      </c>
      <c r="G145" s="366"/>
      <c r="H145" s="132"/>
      <c r="I145" s="188" t="s">
        <v>274</v>
      </c>
      <c r="J145" s="146">
        <f t="shared" si="8"/>
        <v>0</v>
      </c>
      <c r="K145" s="147">
        <f t="shared" si="9"/>
        <v>0</v>
      </c>
      <c r="L145" s="148">
        <f t="shared" si="10"/>
        <v>0</v>
      </c>
      <c r="N145" s="142" t="s">
        <v>275</v>
      </c>
    </row>
    <row r="146" spans="2:15" x14ac:dyDescent="0.3">
      <c r="B146" s="308" t="s">
        <v>276</v>
      </c>
      <c r="C146" s="308" t="str">
        <f>'1.Úvodní parametry'!$D$26</f>
        <v>Hodina/rok</v>
      </c>
      <c r="D146" s="252">
        <v>2</v>
      </c>
      <c r="E146" s="303">
        <f>VLOOKUP(D146,'1.Úvodní parametry'!$D$43:$E$45,2,FALSE)</f>
        <v>657</v>
      </c>
      <c r="F146" s="374">
        <v>0</v>
      </c>
      <c r="G146" s="304"/>
      <c r="H146" s="132"/>
      <c r="I146" s="152" t="s">
        <v>277</v>
      </c>
      <c r="J146" s="146">
        <f t="shared" si="8"/>
        <v>0</v>
      </c>
      <c r="K146" s="147">
        <f t="shared" si="9"/>
        <v>0</v>
      </c>
      <c r="L146" s="148">
        <f t="shared" si="10"/>
        <v>0</v>
      </c>
      <c r="N146" s="142" t="s">
        <v>131</v>
      </c>
    </row>
    <row r="147" spans="2:15" x14ac:dyDescent="0.3">
      <c r="B147" s="308" t="s">
        <v>276</v>
      </c>
      <c r="C147" s="308" t="str">
        <f>'1.Úvodní parametry'!$D$24</f>
        <v>Kč/rok</v>
      </c>
      <c r="D147" s="367"/>
      <c r="E147" s="303"/>
      <c r="F147" s="339">
        <v>0</v>
      </c>
      <c r="G147" s="304"/>
      <c r="H147" s="132"/>
      <c r="I147" s="168" t="s">
        <v>278</v>
      </c>
      <c r="J147" s="146">
        <f>IF($J$5='1.Úvodní parametry'!$D$3,'2. Vstupní data on-premise '!F147,'2. Vstupní data on-premise '!F147/(1+$K$4))</f>
        <v>0</v>
      </c>
      <c r="K147" s="147">
        <f>IF($K$5='1.Úvodní parametry'!$D$3,'2. Vstupní data on-premise '!F147,'2. Vstupní data on-premise '!F147*(1+$K$4))</f>
        <v>0</v>
      </c>
      <c r="L147" s="148">
        <f>IF($L$166=$J$166,J147,K147)</f>
        <v>0</v>
      </c>
      <c r="N147" s="142" t="s">
        <v>93</v>
      </c>
    </row>
    <row r="148" spans="2:15" x14ac:dyDescent="0.3">
      <c r="B148" s="308" t="s">
        <v>279</v>
      </c>
      <c r="C148" s="308" t="str">
        <f>'1.Úvodní parametry'!$D$26</f>
        <v>Hodina/rok</v>
      </c>
      <c r="D148" s="252">
        <v>2</v>
      </c>
      <c r="E148" s="303">
        <f>VLOOKUP(D148,'1.Úvodní parametry'!$D$43:$E$45,2,FALSE)</f>
        <v>657</v>
      </c>
      <c r="F148" s="374">
        <v>0</v>
      </c>
      <c r="G148" s="304"/>
      <c r="H148" s="132"/>
      <c r="I148" s="152" t="s">
        <v>280</v>
      </c>
      <c r="J148" s="146">
        <f t="shared" ref="J148" si="11">E148*F148</f>
        <v>0</v>
      </c>
      <c r="K148" s="147">
        <f t="shared" ref="K148" si="12">E148*F148</f>
        <v>0</v>
      </c>
      <c r="L148" s="148">
        <f t="shared" ref="L148" si="13">IF($L$4=$J$4,J148,K148)</f>
        <v>0</v>
      </c>
      <c r="N148" s="142" t="s">
        <v>275</v>
      </c>
      <c r="O148" s="189" t="s">
        <v>475</v>
      </c>
    </row>
    <row r="149" spans="2:15" ht="15.6" customHeight="1" x14ac:dyDescent="0.3">
      <c r="B149" s="365" t="s">
        <v>281</v>
      </c>
      <c r="C149" s="308" t="str">
        <f>'1.Úvodní parametry'!$D$24</f>
        <v>Kč/rok</v>
      </c>
      <c r="D149" s="367"/>
      <c r="E149" s="303"/>
      <c r="F149" s="71">
        <v>0</v>
      </c>
      <c r="G149" s="366"/>
      <c r="H149" s="132"/>
      <c r="I149" s="190" t="s">
        <v>270</v>
      </c>
      <c r="J149" s="146">
        <f>IF($J$5='1.Úvodní parametry'!$D$3,'2. Vstupní data on-premise '!F149,'2. Vstupní data on-premise '!F149/(1+$K$4))</f>
        <v>0</v>
      </c>
      <c r="K149" s="147">
        <f>IF($K$5='1.Úvodní parametry'!$D$3,'2. Vstupní data on-premise '!F149,'2. Vstupní data on-premise '!F149*(1+$K$4))</f>
        <v>0</v>
      </c>
      <c r="L149" s="148">
        <f>IF($L$166=$J$166,J149,K149)</f>
        <v>0</v>
      </c>
      <c r="N149" s="142" t="s">
        <v>93</v>
      </c>
    </row>
    <row r="150" spans="2:15" ht="15.6" customHeight="1" x14ac:dyDescent="0.3">
      <c r="B150" s="365" t="s">
        <v>282</v>
      </c>
      <c r="C150" s="308" t="str">
        <f>'1.Úvodní parametry'!$D$24</f>
        <v>Kč/rok</v>
      </c>
      <c r="D150" s="367"/>
      <c r="E150" s="303"/>
      <c r="F150" s="71">
        <v>0</v>
      </c>
      <c r="G150" s="366"/>
      <c r="H150" s="132"/>
      <c r="I150" s="152" t="s">
        <v>272</v>
      </c>
      <c r="J150" s="146">
        <f>IF($J$5='1.Úvodní parametry'!$D$3,'2. Vstupní data on-premise '!F150,'2. Vstupní data on-premise '!F150/(1+$K$4))</f>
        <v>0</v>
      </c>
      <c r="K150" s="147">
        <f>IF($K$5='1.Úvodní parametry'!$D$3,'2. Vstupní data on-premise '!F150,'2. Vstupní data on-premise '!F150*(1+$K$4))</f>
        <v>0</v>
      </c>
      <c r="L150" s="148">
        <f>IF($L$166=$J$166,J150,K150)</f>
        <v>0</v>
      </c>
      <c r="N150" s="142" t="s">
        <v>93</v>
      </c>
    </row>
    <row r="151" spans="2:15" ht="15" thickBot="1" x14ac:dyDescent="0.35">
      <c r="B151" s="368" t="s">
        <v>283</v>
      </c>
      <c r="C151" s="348"/>
      <c r="D151" s="348"/>
      <c r="E151" s="348"/>
      <c r="F151" s="480">
        <f>IF($J$166='1.Úvodní parametry'!$D$3,J151,K151)</f>
        <v>0</v>
      </c>
      <c r="G151" s="369" t="s">
        <v>248</v>
      </c>
      <c r="H151" s="132"/>
      <c r="I151" s="133" t="s">
        <v>681</v>
      </c>
      <c r="J151" s="191">
        <f>SUM(J133:J150)</f>
        <v>0</v>
      </c>
      <c r="K151" s="192">
        <f>SUM(K133:K150)</f>
        <v>0</v>
      </c>
      <c r="L151" s="193">
        <f>SUM(L133:L150)</f>
        <v>0</v>
      </c>
      <c r="N151" s="142" t="s">
        <v>93</v>
      </c>
    </row>
    <row r="152" spans="2:15" ht="15.6" thickTop="1" thickBot="1" x14ac:dyDescent="0.35">
      <c r="B152" s="375"/>
      <c r="C152" s="376"/>
      <c r="D152" s="376"/>
      <c r="E152" s="376"/>
      <c r="F152" s="377"/>
      <c r="G152" s="376"/>
      <c r="H152" s="132"/>
      <c r="N152" s="142" t="s">
        <v>93</v>
      </c>
    </row>
    <row r="153" spans="2:15" ht="15" thickBot="1" x14ac:dyDescent="0.35">
      <c r="B153" s="264" t="s">
        <v>284</v>
      </c>
      <c r="C153" s="265"/>
      <c r="D153" s="265"/>
      <c r="E153" s="265"/>
      <c r="F153" s="373"/>
      <c r="G153" s="267"/>
      <c r="H153" s="132"/>
      <c r="N153" s="142" t="s">
        <v>93</v>
      </c>
    </row>
    <row r="154" spans="2:15" x14ac:dyDescent="0.3">
      <c r="B154" s="268"/>
      <c r="C154" s="297" t="s">
        <v>30</v>
      </c>
      <c r="D154" s="364" t="s">
        <v>239</v>
      </c>
      <c r="E154" s="297" t="s">
        <v>240</v>
      </c>
      <c r="F154" s="270" t="s">
        <v>42</v>
      </c>
      <c r="G154" s="285" t="s">
        <v>19</v>
      </c>
      <c r="H154" s="132"/>
      <c r="J154" s="143" t="s">
        <v>3</v>
      </c>
      <c r="K154" s="144" t="s">
        <v>43</v>
      </c>
      <c r="L154" s="145" t="str">
        <f>'4. Kalkulace TCO a Porovnání'!$J$5</f>
        <v>v Kč včetně DPH</v>
      </c>
      <c r="N154" s="142" t="s">
        <v>93</v>
      </c>
    </row>
    <row r="155" spans="2:15" ht="24.75" customHeight="1" x14ac:dyDescent="0.3">
      <c r="B155" s="365" t="s">
        <v>285</v>
      </c>
      <c r="C155" s="308" t="str">
        <f>'1.Úvodní parametry'!$D$26</f>
        <v>Hodina/rok</v>
      </c>
      <c r="D155" s="252">
        <v>2</v>
      </c>
      <c r="E155" s="303">
        <f>VLOOKUP(D155,'1.Úvodní parametry'!$D$43:$E$45,2,FALSE)</f>
        <v>657</v>
      </c>
      <c r="F155" s="374">
        <v>0</v>
      </c>
      <c r="G155" s="366"/>
      <c r="H155" s="132"/>
      <c r="I155" s="152" t="s">
        <v>286</v>
      </c>
      <c r="J155" s="146">
        <f>E155*F155</f>
        <v>0</v>
      </c>
      <c r="K155" s="147">
        <f>E155*F155</f>
        <v>0</v>
      </c>
      <c r="L155" s="148">
        <f>IF($L$4=$J$4,J155,K155)</f>
        <v>0</v>
      </c>
      <c r="N155" s="142" t="s">
        <v>275</v>
      </c>
    </row>
    <row r="156" spans="2:15" x14ac:dyDescent="0.3">
      <c r="B156" s="365" t="s">
        <v>287</v>
      </c>
      <c r="C156" s="308" t="str">
        <f>'1.Úvodní parametry'!$D$26</f>
        <v>Hodina/rok</v>
      </c>
      <c r="D156" s="252">
        <v>1</v>
      </c>
      <c r="E156" s="303">
        <f>VLOOKUP(D156,'1.Úvodní parametry'!$D$43:$E$45,2,FALSE)</f>
        <v>608</v>
      </c>
      <c r="F156" s="374">
        <v>0</v>
      </c>
      <c r="G156" s="366"/>
      <c r="H156" s="132"/>
      <c r="I156" s="178" t="s">
        <v>286</v>
      </c>
      <c r="J156" s="146">
        <f t="shared" ref="J156" si="14">E156*F156</f>
        <v>0</v>
      </c>
      <c r="K156" s="147">
        <f t="shared" ref="K156" si="15">E156*F156</f>
        <v>0</v>
      </c>
      <c r="L156" s="148">
        <f t="shared" ref="L156" si="16">IF($L$4=$J$4,J156,K156)</f>
        <v>0</v>
      </c>
      <c r="N156" s="142" t="s">
        <v>275</v>
      </c>
    </row>
    <row r="157" spans="2:15" x14ac:dyDescent="0.3">
      <c r="B157" s="378" t="s">
        <v>288</v>
      </c>
      <c r="C157" s="308" t="str">
        <f>'1.Úvodní parametry'!$D$26</f>
        <v>Hodina/rok</v>
      </c>
      <c r="D157" s="252">
        <v>3</v>
      </c>
      <c r="E157" s="303">
        <f>VLOOKUP(D157,'1.Úvodní parametry'!$D$43:$E$45,2,FALSE)</f>
        <v>709</v>
      </c>
      <c r="F157" s="374">
        <v>0</v>
      </c>
      <c r="G157" s="366"/>
      <c r="H157" s="132"/>
      <c r="I157" s="178" t="s">
        <v>286</v>
      </c>
      <c r="J157" s="146">
        <f t="shared" ref="J157" si="17">E157*F157</f>
        <v>0</v>
      </c>
      <c r="K157" s="147">
        <f t="shared" ref="K157" si="18">E157*F157</f>
        <v>0</v>
      </c>
      <c r="L157" s="148">
        <f t="shared" ref="L157" si="19">IF($L$4=$J$4,J157,K157)</f>
        <v>0</v>
      </c>
      <c r="N157" s="142" t="s">
        <v>275</v>
      </c>
    </row>
    <row r="158" spans="2:15" x14ac:dyDescent="0.3">
      <c r="B158" s="378" t="s">
        <v>289</v>
      </c>
      <c r="C158" s="308" t="str">
        <f>'1.Úvodní parametry'!$D$24</f>
        <v>Kč/rok</v>
      </c>
      <c r="D158" s="367"/>
      <c r="E158" s="303"/>
      <c r="F158" s="379">
        <v>0</v>
      </c>
      <c r="G158" s="366" t="s">
        <v>290</v>
      </c>
      <c r="H158" s="132"/>
      <c r="I158" s="178" t="s">
        <v>291</v>
      </c>
      <c r="J158" s="154">
        <f>IF($J$5='1.Úvodní parametry'!$D$3,'2. Vstupní data on-premise '!F158,'2. Vstupní data on-premise '!F158/(1+$K$4))</f>
        <v>0</v>
      </c>
      <c r="K158" s="155">
        <f>IF($K$5='1.Úvodní parametry'!$D$3,'2. Vstupní data on-premise '!F158,'2. Vstupní data on-premise '!F158*(1+$K$4))</f>
        <v>0</v>
      </c>
      <c r="L158" s="156">
        <f>IF($L$166=$J$166,J158,K158)</f>
        <v>0</v>
      </c>
      <c r="N158" s="142" t="s">
        <v>93</v>
      </c>
    </row>
    <row r="159" spans="2:15" x14ac:dyDescent="0.3">
      <c r="B159" s="378" t="s">
        <v>292</v>
      </c>
      <c r="C159" s="308" t="str">
        <f>'1.Úvodní parametry'!$D$24</f>
        <v>Kč/rok</v>
      </c>
      <c r="D159" s="367"/>
      <c r="E159" s="303"/>
      <c r="F159" s="71">
        <v>0</v>
      </c>
      <c r="G159" s="366" t="s">
        <v>293</v>
      </c>
      <c r="H159" s="132"/>
      <c r="I159" s="190" t="s">
        <v>294</v>
      </c>
      <c r="J159" s="194">
        <f>IF($J$5='1.Úvodní parametry'!$D$3,'2. Vstupní data on-premise '!F159,'2. Vstupní data on-premise '!F159/(1+$K$4))</f>
        <v>0</v>
      </c>
      <c r="K159" s="195">
        <f>IF($K$5='1.Úvodní parametry'!$D$3,'2. Vstupní data on-premise '!F159,'2. Vstupní data on-premise '!F159*(1+$K$4))</f>
        <v>0</v>
      </c>
      <c r="L159" s="196">
        <f t="shared" ref="L159" si="20">IF($L$166=$J$166,J159,K159)</f>
        <v>0</v>
      </c>
      <c r="N159" s="142" t="s">
        <v>93</v>
      </c>
    </row>
    <row r="160" spans="2:15" x14ac:dyDescent="0.3">
      <c r="B160" s="380" t="s">
        <v>295</v>
      </c>
      <c r="C160" s="381"/>
      <c r="D160" s="381"/>
      <c r="E160" s="381"/>
      <c r="F160" s="481">
        <f>$E155*F155+$E156*F156+$E157*F157</f>
        <v>0</v>
      </c>
      <c r="G160" s="381" t="s">
        <v>296</v>
      </c>
      <c r="H160" s="132"/>
      <c r="I160" s="197" t="s">
        <v>297</v>
      </c>
      <c r="J160" s="146">
        <f>SUM(J155:J157)</f>
        <v>0</v>
      </c>
      <c r="K160" s="147">
        <f>SUM(K155:K157)</f>
        <v>0</v>
      </c>
      <c r="L160" s="148">
        <f>SUM(L155:L157)</f>
        <v>0</v>
      </c>
      <c r="N160" s="142" t="s">
        <v>93</v>
      </c>
    </row>
    <row r="161" spans="2:15" ht="15" thickBot="1" x14ac:dyDescent="0.35">
      <c r="B161" s="382" t="s">
        <v>298</v>
      </c>
      <c r="C161" s="383"/>
      <c r="D161" s="383"/>
      <c r="E161" s="383"/>
      <c r="F161" s="482">
        <f>IF($J$166='1.Úvodní parametry'!$D$3,J161,K161)</f>
        <v>0</v>
      </c>
      <c r="G161" s="383" t="s">
        <v>299</v>
      </c>
      <c r="H161" s="132"/>
      <c r="I161" s="153" t="s">
        <v>297</v>
      </c>
      <c r="J161" s="149">
        <f>SUM(J155:J159)</f>
        <v>0</v>
      </c>
      <c r="K161" s="150">
        <f>SUM(K155:K159)</f>
        <v>0</v>
      </c>
      <c r="L161" s="151">
        <f>SUM(L155:L159)</f>
        <v>0</v>
      </c>
      <c r="N161" s="142" t="s">
        <v>93</v>
      </c>
    </row>
    <row r="162" spans="2:15" ht="15" thickTop="1" x14ac:dyDescent="0.3">
      <c r="B162" s="256"/>
      <c r="C162" s="256"/>
      <c r="D162" s="256"/>
      <c r="E162" s="256"/>
      <c r="F162" s="256"/>
      <c r="G162" s="319"/>
      <c r="H162" s="132"/>
      <c r="N162" s="142" t="s">
        <v>93</v>
      </c>
    </row>
    <row r="163" spans="2:15" ht="15.6" x14ac:dyDescent="0.3">
      <c r="B163" s="260" t="s">
        <v>300</v>
      </c>
      <c r="C163" s="256"/>
      <c r="D163" s="256"/>
      <c r="E163" s="256"/>
      <c r="F163" s="256"/>
      <c r="G163" s="257"/>
      <c r="H163" s="132"/>
      <c r="L163" s="198" t="s">
        <v>301</v>
      </c>
      <c r="N163" s="142" t="s">
        <v>93</v>
      </c>
    </row>
    <row r="164" spans="2:15" ht="8.25" customHeight="1" thickBot="1" x14ac:dyDescent="0.35">
      <c r="B164" s="256"/>
      <c r="C164" s="256"/>
      <c r="D164" s="256"/>
      <c r="E164" s="256"/>
      <c r="F164" s="256"/>
      <c r="G164" s="257"/>
      <c r="H164" s="132"/>
      <c r="L164" s="199"/>
      <c r="N164" s="142" t="s">
        <v>93</v>
      </c>
    </row>
    <row r="165" spans="2:15" ht="15" thickBot="1" x14ac:dyDescent="0.35">
      <c r="B165" s="264" t="s">
        <v>302</v>
      </c>
      <c r="C165" s="265"/>
      <c r="D165" s="265"/>
      <c r="E165" s="265"/>
      <c r="F165" s="266"/>
      <c r="G165" s="267"/>
      <c r="H165" s="132"/>
      <c r="J165" s="200" t="s">
        <v>91</v>
      </c>
      <c r="K165" s="201">
        <f>'1.Úvodní parametry'!$D$4</f>
        <v>0.21</v>
      </c>
      <c r="L165" s="202" t="s">
        <v>303</v>
      </c>
      <c r="N165" s="142" t="s">
        <v>93</v>
      </c>
    </row>
    <row r="166" spans="2:15" x14ac:dyDescent="0.3">
      <c r="B166" s="268" t="s">
        <v>304</v>
      </c>
      <c r="C166" s="268" t="s">
        <v>30</v>
      </c>
      <c r="D166" s="364" t="s">
        <v>239</v>
      </c>
      <c r="E166" s="297" t="s">
        <v>240</v>
      </c>
      <c r="F166" s="270" t="s">
        <v>42</v>
      </c>
      <c r="G166" s="285" t="s">
        <v>19</v>
      </c>
      <c r="H166" s="132"/>
      <c r="J166" s="143" t="s">
        <v>3</v>
      </c>
      <c r="K166" s="144" t="s">
        <v>43</v>
      </c>
      <c r="L166" s="145" t="str">
        <f>'4. Kalkulace TCO a Porovnání'!$J$5</f>
        <v>v Kč včetně DPH</v>
      </c>
      <c r="N166" s="142" t="s">
        <v>93</v>
      </c>
    </row>
    <row r="167" spans="2:15" x14ac:dyDescent="0.3">
      <c r="B167" s="308" t="s">
        <v>305</v>
      </c>
      <c r="C167" s="302" t="str">
        <f>'1.Úvodní parametry'!$D$34</f>
        <v>Hodina</v>
      </c>
      <c r="D167" s="252">
        <v>2</v>
      </c>
      <c r="E167" s="303">
        <f>VLOOKUP(D167,'1.Úvodní parametry'!$D$43:$E$45,2,FALSE)</f>
        <v>657</v>
      </c>
      <c r="F167" s="384">
        <v>0</v>
      </c>
      <c r="G167" s="304"/>
      <c r="H167" s="132"/>
      <c r="I167" s="152" t="s">
        <v>306</v>
      </c>
      <c r="J167" s="146">
        <f>E167*F167</f>
        <v>0</v>
      </c>
      <c r="K167" s="147">
        <f>E167*F167</f>
        <v>0</v>
      </c>
      <c r="L167" s="148">
        <f>IF($L$166=$J$166,J167,K167)</f>
        <v>0</v>
      </c>
      <c r="N167" s="142" t="s">
        <v>142</v>
      </c>
      <c r="O167" s="134" t="s">
        <v>307</v>
      </c>
    </row>
    <row r="168" spans="2:15" x14ac:dyDescent="0.3">
      <c r="B168" s="308" t="s">
        <v>308</v>
      </c>
      <c r="C168" s="302" t="str">
        <f>JenotkaMěny</f>
        <v>Kč</v>
      </c>
      <c r="D168" s="302"/>
      <c r="E168" s="302"/>
      <c r="F168" s="71">
        <v>0</v>
      </c>
      <c r="G168" s="304"/>
      <c r="H168" s="132"/>
      <c r="I168" s="152" t="s">
        <v>306</v>
      </c>
      <c r="J168" s="146">
        <f>IF($J$166='1.Úvodní parametry'!$D$3,'2. Vstupní data on-premise '!F168,'2. Vstupní data on-premise '!F168/(1+$K$165))</f>
        <v>0</v>
      </c>
      <c r="K168" s="147">
        <f>IF($K$166='1.Úvodní parametry'!$D$3,'2. Vstupní data on-premise '!F168,'2. Vstupní data on-premise '!F168*(1+$K$165))</f>
        <v>0</v>
      </c>
      <c r="L168" s="148">
        <f t="shared" ref="L168:L170" si="21">IF($L$166=$J$166,J168,K168)</f>
        <v>0</v>
      </c>
      <c r="N168" s="142" t="s">
        <v>93</v>
      </c>
    </row>
    <row r="169" spans="2:15" x14ac:dyDescent="0.3">
      <c r="B169" s="308" t="s">
        <v>309</v>
      </c>
      <c r="C169" s="302" t="str">
        <f>'1.Úvodní parametry'!$D$34</f>
        <v>Hodina</v>
      </c>
      <c r="D169" s="252">
        <v>1</v>
      </c>
      <c r="E169" s="303">
        <f>VLOOKUP(D169,'1.Úvodní parametry'!$D$43:$E$45,2,FALSE)</f>
        <v>608</v>
      </c>
      <c r="F169" s="384">
        <v>0</v>
      </c>
      <c r="G169" s="304"/>
      <c r="H169" s="132"/>
      <c r="I169" s="152" t="s">
        <v>310</v>
      </c>
      <c r="J169" s="146">
        <f>E169*F169</f>
        <v>0</v>
      </c>
      <c r="K169" s="147">
        <f>E169*F169</f>
        <v>0</v>
      </c>
      <c r="L169" s="148">
        <f t="shared" si="21"/>
        <v>0</v>
      </c>
      <c r="N169" s="142" t="s">
        <v>142</v>
      </c>
      <c r="O169" s="134" t="s">
        <v>307</v>
      </c>
    </row>
    <row r="170" spans="2:15" ht="15" thickBot="1" x14ac:dyDescent="0.35">
      <c r="B170" s="385" t="s">
        <v>311</v>
      </c>
      <c r="C170" s="302" t="str">
        <f>JenotkaMěny</f>
        <v>Kč</v>
      </c>
      <c r="D170" s="386"/>
      <c r="E170" s="386"/>
      <c r="F170" s="71">
        <v>0</v>
      </c>
      <c r="G170" s="387"/>
      <c r="H170" s="132"/>
      <c r="I170" s="152" t="s">
        <v>310</v>
      </c>
      <c r="J170" s="149">
        <f>IF($J$166='1.Úvodní parametry'!$D$3,'2. Vstupní data on-premise '!F170,'2. Vstupní data on-premise '!F170/(1+$K$165))</f>
        <v>0</v>
      </c>
      <c r="K170" s="150">
        <f>IF($K$166='1.Úvodní parametry'!$D$3,'2. Vstupní data on-premise '!F170,'2. Vstupní data on-premise '!F170*(1+$K$165))</f>
        <v>0</v>
      </c>
      <c r="L170" s="151">
        <f t="shared" si="21"/>
        <v>0</v>
      </c>
      <c r="N170" s="142" t="s">
        <v>93</v>
      </c>
    </row>
    <row r="171" spans="2:15" ht="15.6" thickTop="1" thickBot="1" x14ac:dyDescent="0.35">
      <c r="B171" s="388" t="s">
        <v>312</v>
      </c>
      <c r="C171" s="389" t="str">
        <f>JenotkaMěny</f>
        <v>Kč</v>
      </c>
      <c r="D171" s="389"/>
      <c r="E171" s="389"/>
      <c r="F171" s="483">
        <f>IF($J$166='1.Úvodní parametry'!$D$3,J171,K171)</f>
        <v>0</v>
      </c>
      <c r="G171" s="389" t="s">
        <v>313</v>
      </c>
      <c r="H171" s="132"/>
      <c r="J171" s="149">
        <f>SUM(J167:J170)</f>
        <v>0</v>
      </c>
      <c r="K171" s="150">
        <f>SUM(K167:K170)</f>
        <v>0</v>
      </c>
      <c r="L171" s="151">
        <f>SUM(L167:L170)</f>
        <v>0</v>
      </c>
      <c r="N171" s="142" t="s">
        <v>93</v>
      </c>
    </row>
    <row r="172" spans="2:15" ht="29.4" thickTop="1" x14ac:dyDescent="0.3">
      <c r="B172" s="268" t="s">
        <v>304</v>
      </c>
      <c r="C172" s="268" t="s">
        <v>30</v>
      </c>
      <c r="D172" s="269" t="s">
        <v>9</v>
      </c>
      <c r="E172" s="297"/>
      <c r="F172" s="270" t="s">
        <v>42</v>
      </c>
      <c r="G172" s="285" t="s">
        <v>19</v>
      </c>
      <c r="H172" s="132"/>
      <c r="N172" s="142" t="s">
        <v>93</v>
      </c>
    </row>
    <row r="173" spans="2:15" ht="21" thickBot="1" x14ac:dyDescent="0.35">
      <c r="B173" s="390" t="s">
        <v>314</v>
      </c>
      <c r="C173" s="391"/>
      <c r="D173" s="235" t="str">
        <f>'1.Úvodní parametry'!$D$10</f>
        <v>NE</v>
      </c>
      <c r="E173" s="391"/>
      <c r="F173" s="236"/>
      <c r="G173" s="392" t="s">
        <v>315</v>
      </c>
      <c r="H173" s="132"/>
      <c r="L173" s="198" t="s">
        <v>301</v>
      </c>
      <c r="N173" s="142" t="s">
        <v>93</v>
      </c>
    </row>
    <row r="174" spans="2:15" ht="16.2" thickTop="1" x14ac:dyDescent="0.3">
      <c r="B174" s="260"/>
      <c r="C174" s="302"/>
      <c r="D174" s="302"/>
      <c r="E174" s="302"/>
      <c r="F174" s="393"/>
      <c r="G174" s="361"/>
      <c r="H174" s="132"/>
      <c r="J174" s="200" t="s">
        <v>91</v>
      </c>
      <c r="K174" s="201">
        <f>'1.Úvodní parametry'!$D$4</f>
        <v>0.21</v>
      </c>
      <c r="L174" s="202" t="s">
        <v>303</v>
      </c>
      <c r="N174" s="142" t="s">
        <v>93</v>
      </c>
    </row>
    <row r="175" spans="2:15" ht="25.95" customHeight="1" x14ac:dyDescent="0.3">
      <c r="B175" s="271" t="s">
        <v>316</v>
      </c>
      <c r="C175" s="268" t="s">
        <v>30</v>
      </c>
      <c r="D175" s="364" t="s">
        <v>239</v>
      </c>
      <c r="E175" s="297" t="s">
        <v>240</v>
      </c>
      <c r="F175" s="270" t="s">
        <v>42</v>
      </c>
      <c r="G175" s="271" t="s">
        <v>19</v>
      </c>
      <c r="H175" s="132"/>
      <c r="J175" s="143" t="s">
        <v>3</v>
      </c>
      <c r="K175" s="144" t="s">
        <v>43</v>
      </c>
      <c r="L175" s="145" t="str">
        <f>'4. Kalkulace TCO a Porovnání'!$J$5</f>
        <v>v Kč včetně DPH</v>
      </c>
      <c r="N175" s="142" t="s">
        <v>93</v>
      </c>
    </row>
    <row r="176" spans="2:15" x14ac:dyDescent="0.3">
      <c r="B176" s="308" t="s">
        <v>317</v>
      </c>
      <c r="C176" s="302" t="str">
        <f>'1.Úvodní parametry'!$D$34</f>
        <v>Hodina</v>
      </c>
      <c r="D176" s="252">
        <v>1</v>
      </c>
      <c r="E176" s="303">
        <f>VLOOKUP(D176,'1.Úvodní parametry'!$D$43:$E$45,2,FALSE)</f>
        <v>608</v>
      </c>
      <c r="F176" s="251">
        <v>0</v>
      </c>
      <c r="G176" s="304"/>
      <c r="H176" s="132"/>
      <c r="I176" s="152" t="s">
        <v>318</v>
      </c>
      <c r="J176" s="146">
        <f>E176*F176</f>
        <v>0</v>
      </c>
      <c r="K176" s="147">
        <f>E176*F176</f>
        <v>0</v>
      </c>
      <c r="L176" s="148">
        <f t="shared" ref="L176:L177" si="22">IF($L$166=$J$166,J176,K176)</f>
        <v>0</v>
      </c>
      <c r="N176" s="142" t="s">
        <v>142</v>
      </c>
    </row>
    <row r="177" spans="2:14" x14ac:dyDescent="0.3">
      <c r="B177" s="308" t="s">
        <v>317</v>
      </c>
      <c r="C177" s="302" t="str">
        <f>JenotkaMěny</f>
        <v>Kč</v>
      </c>
      <c r="D177" s="386"/>
      <c r="E177" s="386"/>
      <c r="F177" s="71">
        <v>0</v>
      </c>
      <c r="G177" s="304" t="s">
        <v>677</v>
      </c>
      <c r="H177" s="132"/>
      <c r="I177" s="152" t="s">
        <v>318</v>
      </c>
      <c r="J177" s="146">
        <f>IF($J$166='1.Úvodní parametry'!$D$3,'2. Vstupní data on-premise '!F177,'2. Vstupní data on-premise '!F177/(1+$K$165))</f>
        <v>0</v>
      </c>
      <c r="K177" s="147">
        <f>IF($K$166='1.Úvodní parametry'!$D$3,'2. Vstupní data on-premise '!F177,'2. Vstupní data on-premise '!F177*(1+$K$165))</f>
        <v>0</v>
      </c>
      <c r="L177" s="148">
        <f t="shared" si="22"/>
        <v>0</v>
      </c>
      <c r="N177" s="142" t="s">
        <v>93</v>
      </c>
    </row>
    <row r="178" spans="2:14" x14ac:dyDescent="0.3">
      <c r="B178" s="308" t="s">
        <v>322</v>
      </c>
      <c r="C178" s="302" t="str">
        <f>'1.Úvodní parametry'!$D$34</f>
        <v>Hodina</v>
      </c>
      <c r="D178" s="252">
        <v>2</v>
      </c>
      <c r="E178" s="303">
        <f>VLOOKUP(D178,'1.Úvodní parametry'!$D$43:$E$45,2,FALSE)</f>
        <v>657</v>
      </c>
      <c r="F178" s="251">
        <v>0</v>
      </c>
      <c r="G178" s="304"/>
      <c r="H178" s="132"/>
      <c r="I178" s="152" t="s">
        <v>323</v>
      </c>
      <c r="J178" s="146">
        <f>E178*F178</f>
        <v>0</v>
      </c>
      <c r="K178" s="147">
        <f>E178*F178</f>
        <v>0</v>
      </c>
      <c r="L178" s="148">
        <f>IF($L$166=$J$166,J178,K178)</f>
        <v>0</v>
      </c>
      <c r="N178" s="142" t="s">
        <v>142</v>
      </c>
    </row>
    <row r="179" spans="2:14" x14ac:dyDescent="0.3">
      <c r="B179" s="308" t="s">
        <v>322</v>
      </c>
      <c r="C179" s="302" t="str">
        <f>JenotkaMěny</f>
        <v>Kč</v>
      </c>
      <c r="D179" s="386"/>
      <c r="E179" s="386"/>
      <c r="F179" s="71">
        <v>0</v>
      </c>
      <c r="G179" s="304" t="s">
        <v>677</v>
      </c>
      <c r="H179" s="132"/>
      <c r="I179" s="152" t="s">
        <v>323</v>
      </c>
      <c r="J179" s="146">
        <f>IF($J$166='1.Úvodní parametry'!$D$3,'2. Vstupní data on-premise '!F179,'2. Vstupní data on-premise '!F179/(1+$K$165))</f>
        <v>0</v>
      </c>
      <c r="K179" s="147">
        <f>IF($K$166='1.Úvodní parametry'!$D$3,'2. Vstupní data on-premise '!F179,'2. Vstupní data on-premise '!F179*(1+$K$165))</f>
        <v>0</v>
      </c>
      <c r="L179" s="148">
        <f t="shared" ref="L179" si="23">IF($L$166=$J$166,J179,K179)</f>
        <v>0</v>
      </c>
      <c r="N179" s="142" t="s">
        <v>93</v>
      </c>
    </row>
    <row r="180" spans="2:14" x14ac:dyDescent="0.3">
      <c r="B180" s="308" t="s">
        <v>319</v>
      </c>
      <c r="C180" s="302" t="str">
        <f>'1.Úvodní parametry'!$D$34</f>
        <v>Hodina</v>
      </c>
      <c r="D180" s="252">
        <v>1</v>
      </c>
      <c r="E180" s="303">
        <f>VLOOKUP(D180,'1.Úvodní parametry'!$D$43:$E$45,2,FALSE)</f>
        <v>608</v>
      </c>
      <c r="F180" s="251">
        <v>0</v>
      </c>
      <c r="G180" s="304"/>
      <c r="H180" s="132"/>
      <c r="I180" s="152" t="s">
        <v>320</v>
      </c>
      <c r="J180" s="146">
        <f t="shared" ref="J180:J202" si="24">E180*F180</f>
        <v>0</v>
      </c>
      <c r="K180" s="147">
        <f t="shared" ref="K180:K202" si="25">E180*F180</f>
        <v>0</v>
      </c>
      <c r="L180" s="148">
        <f t="shared" ref="L180:L205" si="26">IF($L$166=$J$166,J180,K180)</f>
        <v>0</v>
      </c>
      <c r="N180" s="142" t="s">
        <v>142</v>
      </c>
    </row>
    <row r="181" spans="2:14" x14ac:dyDescent="0.3">
      <c r="B181" s="308" t="s">
        <v>319</v>
      </c>
      <c r="C181" s="302" t="str">
        <f>JenotkaMěny</f>
        <v>Kč</v>
      </c>
      <c r="D181" s="386"/>
      <c r="E181" s="386"/>
      <c r="F181" s="71">
        <v>0</v>
      </c>
      <c r="G181" s="304" t="s">
        <v>677</v>
      </c>
      <c r="H181" s="132"/>
      <c r="I181" s="152" t="s">
        <v>320</v>
      </c>
      <c r="J181" s="146">
        <f>IF($J$166='1.Úvodní parametry'!$D$3,'2. Vstupní data on-premise '!F181,'2. Vstupní data on-premise '!F181/(1+$K$165))</f>
        <v>0</v>
      </c>
      <c r="K181" s="147">
        <f>IF($K$166='1.Úvodní parametry'!$D$3,'2. Vstupní data on-premise '!F181,'2. Vstupní data on-premise '!F181*(1+$K$165))</f>
        <v>0</v>
      </c>
      <c r="L181" s="148">
        <f t="shared" si="26"/>
        <v>0</v>
      </c>
      <c r="N181" s="142" t="s">
        <v>93</v>
      </c>
    </row>
    <row r="182" spans="2:14" x14ac:dyDescent="0.3">
      <c r="B182" s="308" t="s">
        <v>321</v>
      </c>
      <c r="C182" s="302" t="str">
        <f>'1.Úvodní parametry'!$D$34</f>
        <v>Hodina</v>
      </c>
      <c r="D182" s="252">
        <v>3</v>
      </c>
      <c r="E182" s="303">
        <f>VLOOKUP(D182,'1.Úvodní parametry'!$D$43:$E$45,2,FALSE)</f>
        <v>709</v>
      </c>
      <c r="F182" s="251">
        <v>0</v>
      </c>
      <c r="G182" s="304"/>
      <c r="H182" s="132"/>
      <c r="I182" s="152" t="s">
        <v>320</v>
      </c>
      <c r="J182" s="146">
        <f t="shared" si="24"/>
        <v>0</v>
      </c>
      <c r="K182" s="147">
        <f t="shared" si="25"/>
        <v>0</v>
      </c>
      <c r="L182" s="148">
        <f t="shared" si="26"/>
        <v>0</v>
      </c>
      <c r="N182" s="142" t="s">
        <v>142</v>
      </c>
    </row>
    <row r="183" spans="2:14" x14ac:dyDescent="0.3">
      <c r="B183" s="308" t="s">
        <v>321</v>
      </c>
      <c r="C183" s="302" t="str">
        <f>JenotkaMěny</f>
        <v>Kč</v>
      </c>
      <c r="D183" s="386"/>
      <c r="E183" s="386"/>
      <c r="F183" s="71">
        <v>0</v>
      </c>
      <c r="G183" s="304" t="s">
        <v>677</v>
      </c>
      <c r="H183" s="132"/>
      <c r="I183" s="152" t="s">
        <v>320</v>
      </c>
      <c r="J183" s="146">
        <f>IF($J$166='1.Úvodní parametry'!$D$3,'2. Vstupní data on-premise '!F183,'2. Vstupní data on-premise '!F183/(1+$K$165))</f>
        <v>0</v>
      </c>
      <c r="K183" s="147">
        <f>IF($K$166='1.Úvodní parametry'!$D$3,'2. Vstupní data on-premise '!F183,'2. Vstupní data on-premise '!F183*(1+$K$165))</f>
        <v>0</v>
      </c>
      <c r="L183" s="148">
        <f t="shared" si="26"/>
        <v>0</v>
      </c>
      <c r="N183" s="142" t="s">
        <v>93</v>
      </c>
    </row>
    <row r="184" spans="2:14" x14ac:dyDescent="0.3">
      <c r="B184" s="308" t="s">
        <v>324</v>
      </c>
      <c r="C184" s="302" t="str">
        <f>'1.Úvodní parametry'!$D$34</f>
        <v>Hodina</v>
      </c>
      <c r="D184" s="252">
        <v>3</v>
      </c>
      <c r="E184" s="303">
        <f>VLOOKUP(D184,'1.Úvodní parametry'!$D$43:$E$45,2,FALSE)</f>
        <v>709</v>
      </c>
      <c r="F184" s="251">
        <v>0</v>
      </c>
      <c r="G184" s="304"/>
      <c r="H184" s="132"/>
      <c r="I184" s="152" t="s">
        <v>325</v>
      </c>
      <c r="J184" s="146">
        <f t="shared" si="24"/>
        <v>0</v>
      </c>
      <c r="K184" s="147">
        <f t="shared" si="25"/>
        <v>0</v>
      </c>
      <c r="L184" s="148">
        <f t="shared" si="26"/>
        <v>0</v>
      </c>
      <c r="N184" s="142" t="s">
        <v>142</v>
      </c>
    </row>
    <row r="185" spans="2:14" x14ac:dyDescent="0.3">
      <c r="B185" s="308" t="s">
        <v>324</v>
      </c>
      <c r="C185" s="302" t="str">
        <f>JenotkaMěny</f>
        <v>Kč</v>
      </c>
      <c r="D185" s="386"/>
      <c r="E185" s="386"/>
      <c r="F185" s="71">
        <v>0</v>
      </c>
      <c r="G185" s="304" t="s">
        <v>677</v>
      </c>
      <c r="H185" s="132"/>
      <c r="I185" s="152" t="s">
        <v>325</v>
      </c>
      <c r="J185" s="146">
        <f>IF($J$166='1.Úvodní parametry'!$D$3,'2. Vstupní data on-premise '!F185,'2. Vstupní data on-premise '!F185/(1+$K$165))</f>
        <v>0</v>
      </c>
      <c r="K185" s="147">
        <f>IF($K$166='1.Úvodní parametry'!$D$3,'2. Vstupní data on-premise '!F185,'2. Vstupní data on-premise '!F185*(1+$K$165))</f>
        <v>0</v>
      </c>
      <c r="L185" s="148">
        <f t="shared" ref="L185" si="27">IF($L$166=$J$166,J185,K185)</f>
        <v>0</v>
      </c>
      <c r="N185" s="142" t="s">
        <v>93</v>
      </c>
    </row>
    <row r="186" spans="2:14" x14ac:dyDescent="0.3">
      <c r="B186" s="308" t="s">
        <v>326</v>
      </c>
      <c r="C186" s="302" t="str">
        <f>'1.Úvodní parametry'!$D$34</f>
        <v>Hodina</v>
      </c>
      <c r="D186" s="252">
        <v>3</v>
      </c>
      <c r="E186" s="303">
        <f>VLOOKUP(D186,'1.Úvodní parametry'!$D$43:$E$45,2,FALSE)</f>
        <v>709</v>
      </c>
      <c r="F186" s="251">
        <v>0</v>
      </c>
      <c r="G186" s="304"/>
      <c r="H186" s="132"/>
      <c r="I186" s="178" t="s">
        <v>325</v>
      </c>
      <c r="J186" s="146">
        <f t="shared" si="24"/>
        <v>0</v>
      </c>
      <c r="K186" s="147">
        <f t="shared" si="25"/>
        <v>0</v>
      </c>
      <c r="L186" s="148">
        <f t="shared" si="26"/>
        <v>0</v>
      </c>
      <c r="N186" s="142" t="s">
        <v>142</v>
      </c>
    </row>
    <row r="187" spans="2:14" x14ac:dyDescent="0.3">
      <c r="B187" s="308" t="s">
        <v>326</v>
      </c>
      <c r="C187" s="302" t="str">
        <f>JenotkaMěny</f>
        <v>Kč</v>
      </c>
      <c r="D187" s="386"/>
      <c r="E187" s="386"/>
      <c r="F187" s="71">
        <v>0</v>
      </c>
      <c r="G187" s="304" t="s">
        <v>677</v>
      </c>
      <c r="H187" s="132"/>
      <c r="I187" s="152" t="s">
        <v>325</v>
      </c>
      <c r="J187" s="146">
        <f>IF($J$166='1.Úvodní parametry'!$D$3,'2. Vstupní data on-premise '!F187,'2. Vstupní data on-premise '!F187/(1+$K$165))</f>
        <v>0</v>
      </c>
      <c r="K187" s="147">
        <f>IF($K$166='1.Úvodní parametry'!$D$3,'2. Vstupní data on-premise '!F187,'2. Vstupní data on-premise '!F187*(1+$K$165))</f>
        <v>0</v>
      </c>
      <c r="L187" s="148">
        <f t="shared" ref="L187" si="28">IF($L$166=$J$166,J187,K187)</f>
        <v>0</v>
      </c>
      <c r="N187" s="142" t="s">
        <v>93</v>
      </c>
    </row>
    <row r="188" spans="2:14" x14ac:dyDescent="0.3">
      <c r="B188" s="308" t="s">
        <v>327</v>
      </c>
      <c r="C188" s="302" t="str">
        <f>'1.Úvodní parametry'!$D$34</f>
        <v>Hodina</v>
      </c>
      <c r="D188" s="252">
        <v>2</v>
      </c>
      <c r="E188" s="303">
        <f>VLOOKUP(D188,'1.Úvodní parametry'!$D$43:$E$45,2,FALSE)</f>
        <v>657</v>
      </c>
      <c r="F188" s="251">
        <v>0</v>
      </c>
      <c r="G188" s="304"/>
      <c r="H188" s="132"/>
      <c r="I188" s="152" t="s">
        <v>328</v>
      </c>
      <c r="J188" s="146">
        <f t="shared" si="24"/>
        <v>0</v>
      </c>
      <c r="K188" s="147">
        <f t="shared" si="25"/>
        <v>0</v>
      </c>
      <c r="L188" s="148">
        <f t="shared" si="26"/>
        <v>0</v>
      </c>
      <c r="N188" s="142" t="s">
        <v>142</v>
      </c>
    </row>
    <row r="189" spans="2:14" x14ac:dyDescent="0.3">
      <c r="B189" s="308" t="s">
        <v>327</v>
      </c>
      <c r="C189" s="302" t="str">
        <f>JenotkaMěny</f>
        <v>Kč</v>
      </c>
      <c r="D189" s="386"/>
      <c r="E189" s="386"/>
      <c r="F189" s="71">
        <v>0</v>
      </c>
      <c r="G189" s="304" t="s">
        <v>677</v>
      </c>
      <c r="H189" s="132"/>
      <c r="I189" s="152" t="s">
        <v>328</v>
      </c>
      <c r="J189" s="146">
        <f>IF($J$166='1.Úvodní parametry'!$D$3,'2. Vstupní data on-premise '!F189,'2. Vstupní data on-premise '!F189/(1+$K$165))</f>
        <v>0</v>
      </c>
      <c r="K189" s="147">
        <f>IF($K$166='1.Úvodní parametry'!$D$3,'2. Vstupní data on-premise '!F189,'2. Vstupní data on-premise '!F189*(1+$K$165))</f>
        <v>0</v>
      </c>
      <c r="L189" s="148">
        <f t="shared" si="26"/>
        <v>0</v>
      </c>
      <c r="N189" s="142" t="s">
        <v>93</v>
      </c>
    </row>
    <row r="190" spans="2:14" x14ac:dyDescent="0.3">
      <c r="B190" s="308" t="s">
        <v>329</v>
      </c>
      <c r="C190" s="302" t="str">
        <f>'1.Úvodní parametry'!$D$34</f>
        <v>Hodina</v>
      </c>
      <c r="D190" s="252">
        <v>2</v>
      </c>
      <c r="E190" s="303">
        <f>VLOOKUP(D190,'1.Úvodní parametry'!$D$43:$E$45,2,FALSE)</f>
        <v>657</v>
      </c>
      <c r="F190" s="251">
        <v>0</v>
      </c>
      <c r="G190" s="304"/>
      <c r="H190" s="132"/>
      <c r="I190" s="152" t="s">
        <v>330</v>
      </c>
      <c r="J190" s="146">
        <f t="shared" si="24"/>
        <v>0</v>
      </c>
      <c r="K190" s="147">
        <f t="shared" si="25"/>
        <v>0</v>
      </c>
      <c r="L190" s="148">
        <f t="shared" si="26"/>
        <v>0</v>
      </c>
      <c r="N190" s="142" t="s">
        <v>142</v>
      </c>
    </row>
    <row r="191" spans="2:14" x14ac:dyDescent="0.3">
      <c r="B191" s="308" t="s">
        <v>329</v>
      </c>
      <c r="C191" s="302" t="str">
        <f>JenotkaMěny</f>
        <v>Kč</v>
      </c>
      <c r="D191" s="386"/>
      <c r="E191" s="386"/>
      <c r="F191" s="71">
        <v>0</v>
      </c>
      <c r="G191" s="304" t="s">
        <v>677</v>
      </c>
      <c r="H191" s="132"/>
      <c r="I191" s="152" t="s">
        <v>330</v>
      </c>
      <c r="J191" s="146">
        <f>IF($J$166='1.Úvodní parametry'!$D$3,'2. Vstupní data on-premise '!F191,'2. Vstupní data on-premise '!F191/(1+$K$165))</f>
        <v>0</v>
      </c>
      <c r="K191" s="147">
        <f>IF($K$166='1.Úvodní parametry'!$D$3,'2. Vstupní data on-premise '!F191,'2. Vstupní data on-premise '!F191*(1+$K$165))</f>
        <v>0</v>
      </c>
      <c r="L191" s="148">
        <f t="shared" ref="L191" si="29">IF($L$166=$J$166,J191,K191)</f>
        <v>0</v>
      </c>
      <c r="N191" s="142" t="s">
        <v>93</v>
      </c>
    </row>
    <row r="192" spans="2:14" x14ac:dyDescent="0.3">
      <c r="B192" s="308" t="s">
        <v>331</v>
      </c>
      <c r="C192" s="302" t="str">
        <f>'1.Úvodní parametry'!$D$34</f>
        <v>Hodina</v>
      </c>
      <c r="D192" s="252">
        <v>2</v>
      </c>
      <c r="E192" s="303">
        <f>VLOOKUP(D192,'1.Úvodní parametry'!$D$43:$E$45,2,FALSE)</f>
        <v>657</v>
      </c>
      <c r="F192" s="251">
        <v>0</v>
      </c>
      <c r="G192" s="304"/>
      <c r="H192" s="132"/>
      <c r="I192" s="152" t="s">
        <v>332</v>
      </c>
      <c r="J192" s="146">
        <f t="shared" si="24"/>
        <v>0</v>
      </c>
      <c r="K192" s="147">
        <f t="shared" si="25"/>
        <v>0</v>
      </c>
      <c r="L192" s="148">
        <f t="shared" si="26"/>
        <v>0</v>
      </c>
      <c r="N192" s="142" t="s">
        <v>142</v>
      </c>
    </row>
    <row r="193" spans="1:14" x14ac:dyDescent="0.3">
      <c r="B193" s="308" t="s">
        <v>331</v>
      </c>
      <c r="C193" s="302" t="str">
        <f>JenotkaMěny</f>
        <v>Kč</v>
      </c>
      <c r="D193" s="386"/>
      <c r="E193" s="386"/>
      <c r="F193" s="71">
        <v>0</v>
      </c>
      <c r="G193" s="304" t="s">
        <v>677</v>
      </c>
      <c r="H193" s="132"/>
      <c r="I193" s="152" t="s">
        <v>332</v>
      </c>
      <c r="J193" s="146">
        <f>IF($J$166='1.Úvodní parametry'!$D$3,'2. Vstupní data on-premise '!F193,'2. Vstupní data on-premise '!F193/(1+$K$165))</f>
        <v>0</v>
      </c>
      <c r="K193" s="147">
        <f>IF($K$166='1.Úvodní parametry'!$D$3,'2. Vstupní data on-premise '!F193,'2. Vstupní data on-premise '!F193*(1+$K$165))</f>
        <v>0</v>
      </c>
      <c r="L193" s="148">
        <f t="shared" ref="L193" si="30">IF($L$166=$J$166,J193,K193)</f>
        <v>0</v>
      </c>
      <c r="N193" s="142" t="s">
        <v>93</v>
      </c>
    </row>
    <row r="194" spans="1:14" x14ac:dyDescent="0.3">
      <c r="B194" s="308" t="s">
        <v>333</v>
      </c>
      <c r="C194" s="302" t="str">
        <f>'1.Úvodní parametry'!$D$34</f>
        <v>Hodina</v>
      </c>
      <c r="D194" s="252">
        <v>2</v>
      </c>
      <c r="E194" s="303">
        <f>VLOOKUP(D194,'1.Úvodní parametry'!$D$43:$E$45,2,FALSE)</f>
        <v>657</v>
      </c>
      <c r="F194" s="251">
        <v>0</v>
      </c>
      <c r="G194" s="304"/>
      <c r="H194" s="132"/>
      <c r="I194" s="152" t="s">
        <v>334</v>
      </c>
      <c r="J194" s="146">
        <f t="shared" si="24"/>
        <v>0</v>
      </c>
      <c r="K194" s="147">
        <f t="shared" si="25"/>
        <v>0</v>
      </c>
      <c r="L194" s="148">
        <f t="shared" si="26"/>
        <v>0</v>
      </c>
      <c r="N194" s="142" t="s">
        <v>142</v>
      </c>
    </row>
    <row r="195" spans="1:14" x14ac:dyDescent="0.3">
      <c r="B195" s="308" t="s">
        <v>333</v>
      </c>
      <c r="C195" s="302" t="str">
        <f>JenotkaMěny</f>
        <v>Kč</v>
      </c>
      <c r="D195" s="386"/>
      <c r="E195" s="386"/>
      <c r="F195" s="71">
        <v>0</v>
      </c>
      <c r="G195" s="304" t="s">
        <v>677</v>
      </c>
      <c r="H195" s="132"/>
      <c r="I195" s="152" t="s">
        <v>334</v>
      </c>
      <c r="J195" s="146">
        <f>IF($J$166='1.Úvodní parametry'!$D$3,'2. Vstupní data on-premise '!F195,'2. Vstupní data on-premise '!F195/(1+$K$165))</f>
        <v>0</v>
      </c>
      <c r="K195" s="147">
        <f>IF($K$166='1.Úvodní parametry'!$D$3,'2. Vstupní data on-premise '!F195,'2. Vstupní data on-premise '!F195*(1+$K$165))</f>
        <v>0</v>
      </c>
      <c r="L195" s="148">
        <f t="shared" ref="L195" si="31">IF($L$166=$J$166,J195,K195)</f>
        <v>0</v>
      </c>
      <c r="N195" s="142" t="s">
        <v>93</v>
      </c>
    </row>
    <row r="196" spans="1:14" x14ac:dyDescent="0.3">
      <c r="B196" s="308" t="s">
        <v>335</v>
      </c>
      <c r="C196" s="302" t="str">
        <f>'1.Úvodní parametry'!$D$34</f>
        <v>Hodina</v>
      </c>
      <c r="D196" s="252">
        <v>2</v>
      </c>
      <c r="E196" s="303">
        <f>VLOOKUP(D196,'1.Úvodní parametry'!$D$43:$E$45,2,FALSE)</f>
        <v>657</v>
      </c>
      <c r="F196" s="251">
        <v>0</v>
      </c>
      <c r="G196" s="304"/>
      <c r="H196" s="132"/>
      <c r="I196" s="152" t="s">
        <v>336</v>
      </c>
      <c r="J196" s="146">
        <f t="shared" si="24"/>
        <v>0</v>
      </c>
      <c r="K196" s="147">
        <f t="shared" si="25"/>
        <v>0</v>
      </c>
      <c r="L196" s="148">
        <f t="shared" si="26"/>
        <v>0</v>
      </c>
      <c r="N196" s="142" t="s">
        <v>142</v>
      </c>
    </row>
    <row r="197" spans="1:14" x14ac:dyDescent="0.3">
      <c r="B197" s="308" t="s">
        <v>335</v>
      </c>
      <c r="C197" s="302" t="str">
        <f>JenotkaMěny</f>
        <v>Kč</v>
      </c>
      <c r="D197" s="386"/>
      <c r="E197" s="386"/>
      <c r="F197" s="71">
        <v>0</v>
      </c>
      <c r="G197" s="304" t="s">
        <v>677</v>
      </c>
      <c r="H197" s="132"/>
      <c r="I197" s="152" t="s">
        <v>336</v>
      </c>
      <c r="J197" s="146">
        <f>IF($J$166='1.Úvodní parametry'!$D$3,'2. Vstupní data on-premise '!F197,'2. Vstupní data on-premise '!F197/(1+$K$165))</f>
        <v>0</v>
      </c>
      <c r="K197" s="147">
        <f>IF($K$166='1.Úvodní parametry'!$D$3,'2. Vstupní data on-premise '!F197,'2. Vstupní data on-premise '!F197*(1+$K$165))</f>
        <v>0</v>
      </c>
      <c r="L197" s="148">
        <f t="shared" ref="L197" si="32">IF($L$166=$J$166,J197,K197)</f>
        <v>0</v>
      </c>
      <c r="N197" s="142" t="s">
        <v>93</v>
      </c>
    </row>
    <row r="198" spans="1:14" x14ac:dyDescent="0.3">
      <c r="B198" s="308" t="s">
        <v>337</v>
      </c>
      <c r="C198" s="302" t="str">
        <f>'1.Úvodní parametry'!$D$34</f>
        <v>Hodina</v>
      </c>
      <c r="D198" s="252">
        <v>2</v>
      </c>
      <c r="E198" s="303">
        <f>VLOOKUP(D198,'1.Úvodní parametry'!$D$43:$E$45,2,FALSE)</f>
        <v>657</v>
      </c>
      <c r="F198" s="251">
        <v>0</v>
      </c>
      <c r="G198" s="304"/>
      <c r="H198" s="132"/>
      <c r="I198" s="152" t="s">
        <v>338</v>
      </c>
      <c r="J198" s="146">
        <f t="shared" si="24"/>
        <v>0</v>
      </c>
      <c r="K198" s="147">
        <f t="shared" si="25"/>
        <v>0</v>
      </c>
      <c r="L198" s="148">
        <f t="shared" si="26"/>
        <v>0</v>
      </c>
      <c r="N198" s="142" t="s">
        <v>142</v>
      </c>
    </row>
    <row r="199" spans="1:14" x14ac:dyDescent="0.3">
      <c r="B199" s="308" t="s">
        <v>337</v>
      </c>
      <c r="C199" s="302" t="str">
        <f>JenotkaMěny</f>
        <v>Kč</v>
      </c>
      <c r="D199" s="386"/>
      <c r="E199" s="386"/>
      <c r="F199" s="71">
        <v>0</v>
      </c>
      <c r="G199" s="304" t="s">
        <v>677</v>
      </c>
      <c r="H199" s="132"/>
      <c r="I199" s="152" t="s">
        <v>338</v>
      </c>
      <c r="J199" s="146">
        <f>IF($J$166='1.Úvodní parametry'!$D$3,'2. Vstupní data on-premise '!F199,'2. Vstupní data on-premise '!F199/(1+$K$165))</f>
        <v>0</v>
      </c>
      <c r="K199" s="147">
        <f>IF($K$166='1.Úvodní parametry'!$D$3,'2. Vstupní data on-premise '!F199,'2. Vstupní data on-premise '!F199*(1+$K$165))</f>
        <v>0</v>
      </c>
      <c r="L199" s="148">
        <f t="shared" ref="L199" si="33">IF($L$166=$J$166,J199,K199)</f>
        <v>0</v>
      </c>
      <c r="N199" s="142" t="s">
        <v>93</v>
      </c>
    </row>
    <row r="200" spans="1:14" x14ac:dyDescent="0.3">
      <c r="B200" s="308" t="s">
        <v>339</v>
      </c>
      <c r="C200" s="302" t="str">
        <f>'1.Úvodní parametry'!$D$34</f>
        <v>Hodina</v>
      </c>
      <c r="D200" s="252">
        <v>2</v>
      </c>
      <c r="E200" s="303">
        <f>VLOOKUP(D200,'1.Úvodní parametry'!$D$43:$E$45,2,FALSE)</f>
        <v>657</v>
      </c>
      <c r="F200" s="251">
        <v>0</v>
      </c>
      <c r="G200" s="304"/>
      <c r="H200" s="132"/>
      <c r="I200" s="152" t="s">
        <v>340</v>
      </c>
      <c r="J200" s="146">
        <f t="shared" si="24"/>
        <v>0</v>
      </c>
      <c r="K200" s="147">
        <f t="shared" si="25"/>
        <v>0</v>
      </c>
      <c r="L200" s="148">
        <f t="shared" si="26"/>
        <v>0</v>
      </c>
      <c r="N200" s="142" t="s">
        <v>142</v>
      </c>
    </row>
    <row r="201" spans="1:14" x14ac:dyDescent="0.3">
      <c r="B201" s="308" t="s">
        <v>339</v>
      </c>
      <c r="C201" s="302" t="str">
        <f>JenotkaMěny</f>
        <v>Kč</v>
      </c>
      <c r="D201" s="386"/>
      <c r="E201" s="386"/>
      <c r="F201" s="71">
        <v>0</v>
      </c>
      <c r="G201" s="304" t="s">
        <v>677</v>
      </c>
      <c r="H201" s="132"/>
      <c r="I201" s="152" t="s">
        <v>340</v>
      </c>
      <c r="J201" s="146">
        <f>IF($J$166='1.Úvodní parametry'!$D$3,'2. Vstupní data on-premise '!F201,'2. Vstupní data on-premise '!F201/(1+$K$165))</f>
        <v>0</v>
      </c>
      <c r="K201" s="147">
        <f>IF($K$166='1.Úvodní parametry'!$D$3,'2. Vstupní data on-premise '!F201,'2. Vstupní data on-premise '!F201*(1+$K$165))</f>
        <v>0</v>
      </c>
      <c r="L201" s="148">
        <f t="shared" ref="L201" si="34">IF($L$166=$J$166,J201,K201)</f>
        <v>0</v>
      </c>
      <c r="N201" s="142" t="s">
        <v>93</v>
      </c>
    </row>
    <row r="202" spans="1:14" x14ac:dyDescent="0.3">
      <c r="B202" s="308" t="s">
        <v>341</v>
      </c>
      <c r="C202" s="302" t="str">
        <f>'1.Úvodní parametry'!$D$34</f>
        <v>Hodina</v>
      </c>
      <c r="D202" s="252">
        <v>2</v>
      </c>
      <c r="E202" s="303">
        <f>VLOOKUP(D202,'1.Úvodní parametry'!$D$43:$E$45,2,FALSE)</f>
        <v>657</v>
      </c>
      <c r="F202" s="251">
        <v>0</v>
      </c>
      <c r="G202" s="304"/>
      <c r="H202" s="132"/>
      <c r="I202" s="152" t="s">
        <v>342</v>
      </c>
      <c r="J202" s="146">
        <f t="shared" si="24"/>
        <v>0</v>
      </c>
      <c r="K202" s="147">
        <f t="shared" si="25"/>
        <v>0</v>
      </c>
      <c r="L202" s="148">
        <f t="shared" si="26"/>
        <v>0</v>
      </c>
      <c r="N202" s="142" t="s">
        <v>142</v>
      </c>
    </row>
    <row r="203" spans="1:14" x14ac:dyDescent="0.3">
      <c r="B203" s="308" t="s">
        <v>343</v>
      </c>
      <c r="C203" s="302" t="str">
        <f>JenotkaMěny</f>
        <v>Kč</v>
      </c>
      <c r="D203" s="386"/>
      <c r="E203" s="309"/>
      <c r="F203" s="339">
        <v>0</v>
      </c>
      <c r="G203" s="304" t="s">
        <v>677</v>
      </c>
      <c r="H203" s="132"/>
      <c r="I203" s="152" t="s">
        <v>342</v>
      </c>
      <c r="J203" s="146">
        <f>IF($J$166='1.Úvodní parametry'!$D$3,'2. Vstupní data on-premise '!F203,'2. Vstupní data on-premise '!F203/(1+$K$165))</f>
        <v>0</v>
      </c>
      <c r="K203" s="147">
        <f>IF($K$166='1.Úvodní parametry'!$D$3,'2. Vstupní data on-premise '!F203,'2. Vstupní data on-premise '!F203*(1+$K$165))</f>
        <v>0</v>
      </c>
      <c r="L203" s="148">
        <f t="shared" si="26"/>
        <v>0</v>
      </c>
      <c r="N203" s="142" t="s">
        <v>93</v>
      </c>
    </row>
    <row r="204" spans="1:14" ht="18.600000000000001" customHeight="1" x14ac:dyDescent="0.3">
      <c r="B204" s="308" t="s">
        <v>678</v>
      </c>
      <c r="C204" s="302" t="str">
        <f>'1.Úvodní parametry'!$D$34</f>
        <v>Hodina</v>
      </c>
      <c r="D204" s="252">
        <v>2</v>
      </c>
      <c r="E204" s="303">
        <f>VLOOKUP(D204,'1.Úvodní parametry'!$D$43:$E$45,2,FALSE)</f>
        <v>657</v>
      </c>
      <c r="F204" s="251">
        <v>0</v>
      </c>
      <c r="G204" s="304" t="s">
        <v>676</v>
      </c>
      <c r="H204" s="132"/>
      <c r="I204" s="152" t="s">
        <v>346</v>
      </c>
      <c r="J204" s="146">
        <f t="shared" ref="J204" si="35">E204*F204</f>
        <v>0</v>
      </c>
      <c r="K204" s="147">
        <f t="shared" ref="K204" si="36">E204*F204</f>
        <v>0</v>
      </c>
      <c r="L204" s="148">
        <f t="shared" ref="L204" si="37">IF($L$166=$J$166,J204,K204)</f>
        <v>0</v>
      </c>
      <c r="N204" s="142" t="s">
        <v>142</v>
      </c>
    </row>
    <row r="205" spans="1:14" ht="17.100000000000001" customHeight="1" thickBot="1" x14ac:dyDescent="0.35">
      <c r="A205" s="256"/>
      <c r="B205" s="308" t="s">
        <v>344</v>
      </c>
      <c r="C205" s="302" t="str">
        <f>JenotkaMěny</f>
        <v>Kč</v>
      </c>
      <c r="D205" s="386"/>
      <c r="E205" s="386"/>
      <c r="F205" s="71">
        <v>0</v>
      </c>
      <c r="G205" s="304" t="s">
        <v>345</v>
      </c>
      <c r="H205" s="132"/>
      <c r="I205" s="152" t="s">
        <v>346</v>
      </c>
      <c r="J205" s="146">
        <f>IF($J$166='1.Úvodní parametry'!$D$3,'2. Vstupní data on-premise '!F205,'2. Vstupní data on-premise '!F205/(1+$K$165))</f>
        <v>0</v>
      </c>
      <c r="K205" s="147">
        <f>IF($K$166='1.Úvodní parametry'!$D$3,'2. Vstupní data on-premise '!F205,'2. Vstupní data on-premise '!F205*(1+$K$165))</f>
        <v>0</v>
      </c>
      <c r="L205" s="148">
        <f t="shared" si="26"/>
        <v>0</v>
      </c>
      <c r="N205" s="142" t="s">
        <v>93</v>
      </c>
    </row>
    <row r="206" spans="1:14" ht="15.6" thickTop="1" thickBot="1" x14ac:dyDescent="0.35">
      <c r="A206" s="256"/>
      <c r="B206" s="394" t="s">
        <v>347</v>
      </c>
      <c r="C206" s="395" t="str">
        <f>JenotkaMěny</f>
        <v>Kč</v>
      </c>
      <c r="D206" s="395"/>
      <c r="E206" s="395"/>
      <c r="F206" s="483">
        <f>IF($J$166='1.Úvodní parametry'!$D$3,J206,K206)</f>
        <v>0</v>
      </c>
      <c r="G206" s="395" t="s">
        <v>313</v>
      </c>
      <c r="H206" s="132"/>
      <c r="J206" s="185">
        <f>SUM(J176:J205)</f>
        <v>0</v>
      </c>
      <c r="K206" s="186">
        <f>SUM(K176:K205)</f>
        <v>0</v>
      </c>
      <c r="L206" s="187">
        <f>SUM(L176:L205)</f>
        <v>0</v>
      </c>
      <c r="N206" s="142" t="s">
        <v>93</v>
      </c>
    </row>
    <row r="207" spans="1:14" ht="29.4" thickTop="1" x14ac:dyDescent="0.3">
      <c r="A207" s="256"/>
      <c r="B207" s="271" t="s">
        <v>316</v>
      </c>
      <c r="C207" s="268" t="s">
        <v>30</v>
      </c>
      <c r="D207" s="269" t="s">
        <v>9</v>
      </c>
      <c r="E207" s="297"/>
      <c r="F207" s="270" t="s">
        <v>42</v>
      </c>
      <c r="G207" s="285" t="s">
        <v>19</v>
      </c>
      <c r="H207" s="132"/>
      <c r="N207" s="142" t="s">
        <v>93</v>
      </c>
    </row>
    <row r="208" spans="1:14" ht="25.2" customHeight="1" thickBot="1" x14ac:dyDescent="0.35">
      <c r="A208" s="256"/>
      <c r="B208" s="390" t="s">
        <v>314</v>
      </c>
      <c r="C208" s="391"/>
      <c r="D208" s="235" t="str">
        <f>'1.Úvodní parametry'!$D$10</f>
        <v>NE</v>
      </c>
      <c r="E208" s="391"/>
      <c r="F208" s="396"/>
      <c r="G208" s="392" t="s">
        <v>315</v>
      </c>
      <c r="H208" s="132"/>
      <c r="N208" s="142" t="s">
        <v>93</v>
      </c>
    </row>
    <row r="209" spans="1:18" ht="30.6" thickTop="1" x14ac:dyDescent="0.3">
      <c r="A209" s="256"/>
      <c r="B209" s="375"/>
      <c r="C209" s="376"/>
      <c r="D209" s="376"/>
      <c r="E209" s="376"/>
      <c r="F209" s="397"/>
      <c r="G209" s="376"/>
      <c r="H209" s="132"/>
      <c r="J209" s="203" t="s">
        <v>91</v>
      </c>
      <c r="K209" s="204">
        <f>'1.Úvodní parametry'!$D$4</f>
        <v>0.21</v>
      </c>
      <c r="L209" s="141" t="s">
        <v>348</v>
      </c>
      <c r="N209" s="142" t="s">
        <v>93</v>
      </c>
    </row>
    <row r="210" spans="1:18" ht="24" customHeight="1" x14ac:dyDescent="0.3">
      <c r="A210" s="398"/>
      <c r="B210" s="399" t="s">
        <v>349</v>
      </c>
      <c r="C210" s="400" t="s">
        <v>30</v>
      </c>
      <c r="D210" s="401" t="s">
        <v>239</v>
      </c>
      <c r="E210" s="402"/>
      <c r="F210" s="270" t="s">
        <v>42</v>
      </c>
      <c r="G210" s="399" t="s">
        <v>19</v>
      </c>
      <c r="H210" s="132"/>
      <c r="J210" s="143" t="s">
        <v>3</v>
      </c>
      <c r="K210" s="144" t="s">
        <v>43</v>
      </c>
      <c r="L210" s="145" t="str">
        <f>'4. Kalkulace TCO a Porovnání'!$J$5</f>
        <v>v Kč včetně DPH</v>
      </c>
      <c r="N210" s="142" t="s">
        <v>93</v>
      </c>
    </row>
    <row r="211" spans="1:18" x14ac:dyDescent="0.3">
      <c r="A211" s="403"/>
      <c r="B211" s="404" t="s">
        <v>350</v>
      </c>
      <c r="C211" s="302" t="str">
        <f>'1.Úvodní parametry'!$D$34</f>
        <v>Hodina</v>
      </c>
      <c r="D211" s="252">
        <v>1</v>
      </c>
      <c r="E211" s="303">
        <f>VLOOKUP(D211,'1.Úvodní parametry'!$D$43:$E$45,2,FALSE)</f>
        <v>608</v>
      </c>
      <c r="F211" s="374">
        <v>0</v>
      </c>
      <c r="G211" s="304"/>
      <c r="H211" s="132"/>
      <c r="I211" s="152" t="s">
        <v>351</v>
      </c>
      <c r="J211" s="146">
        <f>E211*F211</f>
        <v>0</v>
      </c>
      <c r="K211" s="147">
        <f>E211*F211</f>
        <v>0</v>
      </c>
      <c r="L211" s="148">
        <f t="shared" ref="L211:L218" si="38">IF($L$210=$J$210,J211,K211)</f>
        <v>0</v>
      </c>
      <c r="N211" s="142" t="s">
        <v>352</v>
      </c>
    </row>
    <row r="212" spans="1:18" x14ac:dyDescent="0.3">
      <c r="A212" s="403"/>
      <c r="B212" s="404" t="s">
        <v>350</v>
      </c>
      <c r="C212" s="302" t="str">
        <f>JenotkaMěny</f>
        <v>Kč</v>
      </c>
      <c r="D212" s="405"/>
      <c r="E212" s="303"/>
      <c r="F212" s="339">
        <v>0</v>
      </c>
      <c r="G212" s="304"/>
      <c r="H212" s="132"/>
      <c r="I212" s="152" t="s">
        <v>351</v>
      </c>
      <c r="J212" s="146">
        <f>IF($J$210='1.Úvodní parametry'!$D$3,'2. Vstupní data on-premise '!F212,'2. Vstupní data on-premise '!F212/(1+$K$209))</f>
        <v>0</v>
      </c>
      <c r="K212" s="147">
        <f>IF($K$210='1.Úvodní parametry'!$D$3,'2. Vstupní data on-premise '!F212,'2. Vstupní data on-premise '!F212*(1+$K$209))</f>
        <v>0</v>
      </c>
      <c r="L212" s="148">
        <f t="shared" si="38"/>
        <v>0</v>
      </c>
      <c r="N212" s="142" t="s">
        <v>93</v>
      </c>
    </row>
    <row r="213" spans="1:18" x14ac:dyDescent="0.3">
      <c r="A213" s="403"/>
      <c r="B213" s="404" t="s">
        <v>353</v>
      </c>
      <c r="C213" s="302" t="str">
        <f>'1.Úvodní parametry'!$D$34</f>
        <v>Hodina</v>
      </c>
      <c r="D213" s="252">
        <v>2</v>
      </c>
      <c r="E213" s="303">
        <f>VLOOKUP(D213,'1.Úvodní parametry'!$D$43:$E$45,2,FALSE)</f>
        <v>657</v>
      </c>
      <c r="F213" s="374">
        <v>0</v>
      </c>
      <c r="G213" s="304"/>
      <c r="H213" s="132"/>
      <c r="I213" s="152" t="s">
        <v>354</v>
      </c>
      <c r="J213" s="146">
        <f>E213*F213</f>
        <v>0</v>
      </c>
      <c r="K213" s="147">
        <f>E213*F213</f>
        <v>0</v>
      </c>
      <c r="L213" s="148">
        <f t="shared" si="38"/>
        <v>0</v>
      </c>
      <c r="N213" s="142" t="s">
        <v>352</v>
      </c>
    </row>
    <row r="214" spans="1:18" x14ac:dyDescent="0.3">
      <c r="A214" s="403"/>
      <c r="B214" s="404" t="s">
        <v>353</v>
      </c>
      <c r="C214" s="302" t="str">
        <f>JenotkaMěny</f>
        <v>Kč</v>
      </c>
      <c r="D214" s="405"/>
      <c r="E214" s="303"/>
      <c r="F214" s="339">
        <v>0</v>
      </c>
      <c r="G214" s="304"/>
      <c r="H214" s="132"/>
      <c r="I214" s="152" t="s">
        <v>354</v>
      </c>
      <c r="J214" s="146">
        <f>IF($J$210='1.Úvodní parametry'!$D$3,'2. Vstupní data on-premise '!F214,'2. Vstupní data on-premise '!F214/(1+$K$209))</f>
        <v>0</v>
      </c>
      <c r="K214" s="147">
        <f>IF($K$210='1.Úvodní parametry'!$D$3,'2. Vstupní data on-premise '!F214,'2. Vstupní data on-premise '!F214*(1+$K$209))</f>
        <v>0</v>
      </c>
      <c r="L214" s="148">
        <f t="shared" si="38"/>
        <v>0</v>
      </c>
      <c r="N214" s="142" t="s">
        <v>93</v>
      </c>
    </row>
    <row r="215" spans="1:18" x14ac:dyDescent="0.3">
      <c r="A215" s="403"/>
      <c r="B215" s="404" t="s">
        <v>355</v>
      </c>
      <c r="C215" s="302" t="str">
        <f>'1.Úvodní parametry'!$D$34</f>
        <v>Hodina</v>
      </c>
      <c r="D215" s="252">
        <v>3</v>
      </c>
      <c r="E215" s="303">
        <f>VLOOKUP(D215,'1.Úvodní parametry'!$D$43:$E$45,2,FALSE)</f>
        <v>709</v>
      </c>
      <c r="F215" s="374">
        <v>0</v>
      </c>
      <c r="G215" s="304"/>
      <c r="H215" s="132"/>
      <c r="I215" s="152" t="s">
        <v>356</v>
      </c>
      <c r="J215" s="146">
        <f>E215*F215</f>
        <v>0</v>
      </c>
      <c r="K215" s="147">
        <f>E215*F215</f>
        <v>0</v>
      </c>
      <c r="L215" s="148">
        <f t="shared" si="38"/>
        <v>0</v>
      </c>
      <c r="N215" s="142" t="s">
        <v>352</v>
      </c>
    </row>
    <row r="216" spans="1:18" x14ac:dyDescent="0.3">
      <c r="A216" s="403"/>
      <c r="B216" s="404" t="s">
        <v>355</v>
      </c>
      <c r="C216" s="302" t="str">
        <f>JenotkaMěny</f>
        <v>Kč</v>
      </c>
      <c r="D216" s="405"/>
      <c r="E216" s="303"/>
      <c r="F216" s="339">
        <v>0</v>
      </c>
      <c r="G216" s="304"/>
      <c r="H216" s="132"/>
      <c r="I216" s="152" t="s">
        <v>356</v>
      </c>
      <c r="J216" s="146">
        <f>IF($J$210='1.Úvodní parametry'!$D$3,'2. Vstupní data on-premise '!F216,'2. Vstupní data on-premise '!F216/(1+$K$209))</f>
        <v>0</v>
      </c>
      <c r="K216" s="147">
        <f>IF($K$210='1.Úvodní parametry'!$D$3,'2. Vstupní data on-premise '!F216,'2. Vstupní data on-premise '!F216*(1+$K$209))</f>
        <v>0</v>
      </c>
      <c r="L216" s="148">
        <f t="shared" si="38"/>
        <v>0</v>
      </c>
      <c r="N216" s="142" t="s">
        <v>93</v>
      </c>
    </row>
    <row r="217" spans="1:18" x14ac:dyDescent="0.3">
      <c r="A217" s="403"/>
      <c r="B217" s="404" t="s">
        <v>357</v>
      </c>
      <c r="C217" s="302" t="str">
        <f>'1.Úvodní parametry'!$D$34</f>
        <v>Hodina</v>
      </c>
      <c r="D217" s="252">
        <v>2</v>
      </c>
      <c r="E217" s="303">
        <f>VLOOKUP(D217,'1.Úvodní parametry'!$D$43:$E$45,2,FALSE)</f>
        <v>657</v>
      </c>
      <c r="F217" s="374">
        <v>0</v>
      </c>
      <c r="G217" s="304"/>
      <c r="H217" s="132"/>
      <c r="I217" s="152" t="s">
        <v>358</v>
      </c>
      <c r="J217" s="146">
        <f>E217*F217</f>
        <v>0</v>
      </c>
      <c r="K217" s="147">
        <f>E217*F217</f>
        <v>0</v>
      </c>
      <c r="L217" s="148">
        <f t="shared" si="38"/>
        <v>0</v>
      </c>
      <c r="N217" s="142" t="s">
        <v>352</v>
      </c>
    </row>
    <row r="218" spans="1:18" ht="15" thickBot="1" x14ac:dyDescent="0.35">
      <c r="A218" s="403"/>
      <c r="B218" s="404" t="s">
        <v>357</v>
      </c>
      <c r="C218" s="302" t="str">
        <f>JenotkaMěny</f>
        <v>Kč</v>
      </c>
      <c r="D218" s="405"/>
      <c r="E218" s="303"/>
      <c r="F218" s="253">
        <v>0</v>
      </c>
      <c r="G218" s="304"/>
      <c r="H218" s="132"/>
      <c r="I218" s="152" t="s">
        <v>358</v>
      </c>
      <c r="J218" s="149">
        <f>IF($J$210='1.Úvodní parametry'!$D$3,'2. Vstupní data on-premise '!F218,'2. Vstupní data on-premise '!F218/(1+$K$209))</f>
        <v>0</v>
      </c>
      <c r="K218" s="150">
        <f>IF($K$210='1.Úvodní parametry'!$D$3,'2. Vstupní data on-premise '!F218,'2. Vstupní data on-premise '!F218*(1+$K$209))</f>
        <v>0</v>
      </c>
      <c r="L218" s="151">
        <f t="shared" si="38"/>
        <v>0</v>
      </c>
      <c r="N218" s="142" t="s">
        <v>93</v>
      </c>
    </row>
    <row r="219" spans="1:18" ht="21.6" customHeight="1" thickTop="1" thickBot="1" x14ac:dyDescent="0.35">
      <c r="A219" s="403"/>
      <c r="B219" s="406"/>
      <c r="C219" s="407"/>
      <c r="D219" s="408" t="s">
        <v>12</v>
      </c>
      <c r="E219" s="409"/>
      <c r="F219" s="410"/>
      <c r="G219" s="411"/>
      <c r="H219" s="132"/>
      <c r="J219" s="205">
        <f>SUM(J211:J218)</f>
        <v>0</v>
      </c>
      <c r="K219" s="205">
        <f t="shared" ref="K219:L219" si="39">SUM(K211:K218)</f>
        <v>0</v>
      </c>
      <c r="L219" s="205">
        <f t="shared" si="39"/>
        <v>0</v>
      </c>
      <c r="N219" s="142" t="s">
        <v>93</v>
      </c>
    </row>
    <row r="220" spans="1:18" ht="21.6" thickTop="1" thickBot="1" x14ac:dyDescent="0.35">
      <c r="A220" s="403"/>
      <c r="B220" s="390" t="s">
        <v>314</v>
      </c>
      <c r="C220" s="412"/>
      <c r="D220" s="235" t="str">
        <f>'1.Úvodní parametry'!$D$13</f>
        <v>NE</v>
      </c>
      <c r="E220" s="293"/>
      <c r="F220" s="413"/>
      <c r="G220" s="392" t="s">
        <v>359</v>
      </c>
      <c r="H220" s="132"/>
      <c r="J220" s="206"/>
      <c r="K220" s="206"/>
      <c r="L220" s="206"/>
      <c r="N220" s="142" t="s">
        <v>93</v>
      </c>
    </row>
    <row r="221" spans="1:18" ht="15" thickTop="1" x14ac:dyDescent="0.3">
      <c r="A221" s="403"/>
      <c r="B221" s="404"/>
      <c r="C221" s="378"/>
      <c r="D221" s="405"/>
      <c r="E221" s="303"/>
      <c r="F221" s="415"/>
      <c r="G221" s="304"/>
      <c r="H221" s="132"/>
      <c r="N221" s="142" t="s">
        <v>93</v>
      </c>
    </row>
    <row r="222" spans="1:18" ht="24.75" customHeight="1" x14ac:dyDescent="0.3">
      <c r="A222" s="398"/>
      <c r="B222" s="271" t="s">
        <v>360</v>
      </c>
      <c r="C222" s="268" t="s">
        <v>30</v>
      </c>
      <c r="D222" s="364" t="s">
        <v>239</v>
      </c>
      <c r="E222" s="297"/>
      <c r="F222" s="270" t="s">
        <v>42</v>
      </c>
      <c r="G222" s="271" t="s">
        <v>19</v>
      </c>
      <c r="H222" s="132"/>
      <c r="J222" s="143" t="s">
        <v>3</v>
      </c>
      <c r="K222" s="144" t="s">
        <v>43</v>
      </c>
      <c r="L222" s="145" t="str">
        <f>'4. Kalkulace TCO a Porovnání'!$J$5</f>
        <v>v Kč včetně DPH</v>
      </c>
      <c r="M222" s="207"/>
      <c r="N222" s="142" t="s">
        <v>93</v>
      </c>
      <c r="O222" s="207"/>
    </row>
    <row r="223" spans="1:18" x14ac:dyDescent="0.3">
      <c r="A223" s="403"/>
      <c r="B223" s="404" t="s">
        <v>361</v>
      </c>
      <c r="C223" s="302" t="str">
        <f>'1.Úvodní parametry'!$D$34</f>
        <v>Hodina</v>
      </c>
      <c r="D223" s="252">
        <v>1</v>
      </c>
      <c r="E223" s="303">
        <f>VLOOKUP(D223,'1.Úvodní parametry'!$D$43:$E$45,2,FALSE)</f>
        <v>608</v>
      </c>
      <c r="F223" s="374">
        <v>0</v>
      </c>
      <c r="G223" s="304"/>
      <c r="H223" s="132"/>
      <c r="I223" s="152" t="s">
        <v>362</v>
      </c>
      <c r="J223" s="146">
        <f>E223*F223</f>
        <v>0</v>
      </c>
      <c r="K223" s="147">
        <f>E223*F223</f>
        <v>0</v>
      </c>
      <c r="L223" s="148">
        <f t="shared" ref="L223:L230" si="40">IF($L$210=$J$210,J223,K223)</f>
        <v>0</v>
      </c>
      <c r="M223" s="207"/>
      <c r="N223" s="142" t="s">
        <v>352</v>
      </c>
      <c r="O223" s="206"/>
      <c r="P223" s="206"/>
      <c r="Q223" s="206"/>
      <c r="R223" s="414"/>
    </row>
    <row r="224" spans="1:18" x14ac:dyDescent="0.3">
      <c r="A224" s="403"/>
      <c r="B224" s="404" t="s">
        <v>361</v>
      </c>
      <c r="C224" s="302" t="str">
        <f>JenotkaMěny</f>
        <v>Kč</v>
      </c>
      <c r="D224" s="405"/>
      <c r="E224" s="303"/>
      <c r="F224" s="339">
        <v>0</v>
      </c>
      <c r="G224" s="304"/>
      <c r="H224" s="132"/>
      <c r="I224" s="152" t="s">
        <v>362</v>
      </c>
      <c r="J224" s="146">
        <f>IF($J$210='1.Úvodní parametry'!$D$3,'2. Vstupní data on-premise '!F224,'2. Vstupní data on-premise '!F224/(1+$K$209))</f>
        <v>0</v>
      </c>
      <c r="K224" s="147">
        <f>IF($K$210='1.Úvodní parametry'!$D$3,'2. Vstupní data on-premise '!F224,'2. Vstupní data on-premise '!F224*(1+$K$209))</f>
        <v>0</v>
      </c>
      <c r="L224" s="148">
        <f t="shared" si="40"/>
        <v>0</v>
      </c>
      <c r="M224" s="207"/>
      <c r="N224" s="142" t="s">
        <v>93</v>
      </c>
      <c r="O224" s="206"/>
      <c r="P224" s="206"/>
      <c r="Q224" s="206"/>
      <c r="R224" s="414"/>
    </row>
    <row r="225" spans="1:18" x14ac:dyDescent="0.3">
      <c r="A225" s="403"/>
      <c r="B225" s="404" t="s">
        <v>363</v>
      </c>
      <c r="C225" s="302" t="str">
        <f>'1.Úvodní parametry'!$D$34</f>
        <v>Hodina</v>
      </c>
      <c r="D225" s="252">
        <v>2</v>
      </c>
      <c r="E225" s="303">
        <f>VLOOKUP(D225,'1.Úvodní parametry'!$D$43:$E$45,2,FALSE)</f>
        <v>657</v>
      </c>
      <c r="F225" s="374">
        <v>0</v>
      </c>
      <c r="G225" s="304"/>
      <c r="H225" s="132"/>
      <c r="I225" s="152" t="s">
        <v>364</v>
      </c>
      <c r="J225" s="146">
        <f>E225*F225</f>
        <v>0</v>
      </c>
      <c r="K225" s="147">
        <f>E225*F225</f>
        <v>0</v>
      </c>
      <c r="L225" s="148">
        <f t="shared" si="40"/>
        <v>0</v>
      </c>
      <c r="M225" s="207"/>
      <c r="N225" s="142" t="s">
        <v>352</v>
      </c>
      <c r="O225" s="206"/>
      <c r="P225" s="206"/>
      <c r="Q225" s="206"/>
      <c r="R225" s="414"/>
    </row>
    <row r="226" spans="1:18" x14ac:dyDescent="0.3">
      <c r="A226" s="403"/>
      <c r="B226" s="404" t="s">
        <v>363</v>
      </c>
      <c r="C226" s="302" t="str">
        <f>JenotkaMěny</f>
        <v>Kč</v>
      </c>
      <c r="D226" s="405"/>
      <c r="E226" s="303"/>
      <c r="F226" s="339">
        <v>0</v>
      </c>
      <c r="G226" s="304"/>
      <c r="H226" s="132"/>
      <c r="I226" s="152" t="s">
        <v>364</v>
      </c>
      <c r="J226" s="146">
        <f>IF($J$210='1.Úvodní parametry'!$D$3,'2. Vstupní data on-premise '!F226,'2. Vstupní data on-premise '!F226/(1+$K$209))</f>
        <v>0</v>
      </c>
      <c r="K226" s="147">
        <f>IF($K$210='1.Úvodní parametry'!$D$3,'2. Vstupní data on-premise '!F226,'2. Vstupní data on-premise '!F226*(1+$K$209))</f>
        <v>0</v>
      </c>
      <c r="L226" s="148">
        <f t="shared" si="40"/>
        <v>0</v>
      </c>
      <c r="M226" s="207"/>
      <c r="N226" s="142" t="s">
        <v>93</v>
      </c>
      <c r="O226" s="206"/>
      <c r="P226" s="206"/>
      <c r="Q226" s="206"/>
      <c r="R226" s="414"/>
    </row>
    <row r="227" spans="1:18" x14ac:dyDescent="0.3">
      <c r="A227" s="403"/>
      <c r="B227" s="404" t="s">
        <v>365</v>
      </c>
      <c r="C227" s="302" t="str">
        <f>'1.Úvodní parametry'!$D$34</f>
        <v>Hodina</v>
      </c>
      <c r="D227" s="252">
        <v>3</v>
      </c>
      <c r="E227" s="303">
        <f>VLOOKUP(D227,'1.Úvodní parametry'!$D$43:$E$45,2,FALSE)</f>
        <v>709</v>
      </c>
      <c r="F227" s="374">
        <v>0</v>
      </c>
      <c r="G227" s="304"/>
      <c r="H227" s="132"/>
      <c r="I227" s="152" t="s">
        <v>366</v>
      </c>
      <c r="J227" s="146">
        <f>E227*F227</f>
        <v>0</v>
      </c>
      <c r="K227" s="147">
        <f>E227*F227</f>
        <v>0</v>
      </c>
      <c r="L227" s="148">
        <f t="shared" si="40"/>
        <v>0</v>
      </c>
      <c r="M227" s="207"/>
      <c r="N227" s="142" t="s">
        <v>352</v>
      </c>
      <c r="O227" s="206"/>
      <c r="P227" s="206"/>
      <c r="Q227" s="206"/>
      <c r="R227" s="414"/>
    </row>
    <row r="228" spans="1:18" x14ac:dyDescent="0.3">
      <c r="A228" s="403"/>
      <c r="B228" s="404" t="s">
        <v>365</v>
      </c>
      <c r="C228" s="302" t="str">
        <f>JenotkaMěny</f>
        <v>Kč</v>
      </c>
      <c r="D228" s="405"/>
      <c r="E228" s="303"/>
      <c r="F228" s="339">
        <v>0</v>
      </c>
      <c r="G228" s="304"/>
      <c r="H228" s="132"/>
      <c r="I228" s="152" t="s">
        <v>366</v>
      </c>
      <c r="J228" s="146">
        <f>IF($J$210='1.Úvodní parametry'!$D$3,'2. Vstupní data on-premise '!F228,'2. Vstupní data on-premise '!F228/(1+$K$209))</f>
        <v>0</v>
      </c>
      <c r="K228" s="147">
        <f>IF($K$210='1.Úvodní parametry'!$D$3,'2. Vstupní data on-premise '!F228,'2. Vstupní data on-premise '!F228*(1+$K$209))</f>
        <v>0</v>
      </c>
      <c r="L228" s="148">
        <f t="shared" si="40"/>
        <v>0</v>
      </c>
      <c r="N228" s="142" t="s">
        <v>93</v>
      </c>
      <c r="O228" s="206"/>
      <c r="P228" s="206"/>
      <c r="Q228" s="206"/>
      <c r="R228" s="414"/>
    </row>
    <row r="229" spans="1:18" x14ac:dyDescent="0.3">
      <c r="A229" s="403"/>
      <c r="B229" s="404" t="s">
        <v>367</v>
      </c>
      <c r="C229" s="302" t="str">
        <f>'1.Úvodní parametry'!$D$34</f>
        <v>Hodina</v>
      </c>
      <c r="D229" s="252">
        <v>2</v>
      </c>
      <c r="E229" s="303">
        <f>VLOOKUP(D229,'1.Úvodní parametry'!$D$43:$E$45,2,FALSE)</f>
        <v>657</v>
      </c>
      <c r="F229" s="374">
        <v>0</v>
      </c>
      <c r="G229" s="304"/>
      <c r="H229" s="132"/>
      <c r="I229" s="152" t="s">
        <v>368</v>
      </c>
      <c r="J229" s="146">
        <f>E229*F229</f>
        <v>0</v>
      </c>
      <c r="K229" s="147">
        <f>E229*F229</f>
        <v>0</v>
      </c>
      <c r="L229" s="148">
        <f t="shared" si="40"/>
        <v>0</v>
      </c>
      <c r="N229" s="142" t="s">
        <v>352</v>
      </c>
      <c r="O229" s="206"/>
      <c r="P229" s="206"/>
      <c r="Q229" s="206"/>
      <c r="R229" s="414"/>
    </row>
    <row r="230" spans="1:18" ht="15" thickBot="1" x14ac:dyDescent="0.35">
      <c r="A230" s="403"/>
      <c r="B230" s="404" t="s">
        <v>367</v>
      </c>
      <c r="C230" s="302" t="str">
        <f>JenotkaMěny</f>
        <v>Kč</v>
      </c>
      <c r="D230" s="405"/>
      <c r="E230" s="303"/>
      <c r="F230" s="253">
        <v>0</v>
      </c>
      <c r="G230" s="304"/>
      <c r="H230" s="132"/>
      <c r="I230" s="152" t="s">
        <v>368</v>
      </c>
      <c r="J230" s="149">
        <f>IF($J$210='1.Úvodní parametry'!$D$3,'2. Vstupní data on-premise '!F230,'2. Vstupní data on-premise '!F230/(1+$K$209))</f>
        <v>0</v>
      </c>
      <c r="K230" s="150">
        <f>IF($K$210='1.Úvodní parametry'!$D$3,'2. Vstupní data on-premise '!F230,'2. Vstupní data on-premise '!F230*(1+$K$209))</f>
        <v>0</v>
      </c>
      <c r="L230" s="151">
        <f t="shared" si="40"/>
        <v>0</v>
      </c>
      <c r="N230" s="142" t="s">
        <v>93</v>
      </c>
      <c r="O230" s="206"/>
      <c r="P230" s="206"/>
      <c r="Q230" s="206"/>
      <c r="R230" s="414"/>
    </row>
    <row r="231" spans="1:18" ht="21.6" customHeight="1" thickTop="1" thickBot="1" x14ac:dyDescent="0.35">
      <c r="A231" s="403"/>
      <c r="B231" s="416"/>
      <c r="C231" s="417"/>
      <c r="D231" s="408" t="s">
        <v>12</v>
      </c>
      <c r="E231" s="409"/>
      <c r="F231" s="418"/>
      <c r="G231" s="419"/>
      <c r="H231" s="132"/>
      <c r="I231" s="153"/>
      <c r="J231" s="205">
        <f>SUM(J223:J230)</f>
        <v>0</v>
      </c>
      <c r="K231" s="205">
        <f>SUM(K223:K230)</f>
        <v>0</v>
      </c>
      <c r="L231" s="205">
        <f>SUM(L223:L230)</f>
        <v>0</v>
      </c>
      <c r="N231" s="142" t="s">
        <v>93</v>
      </c>
      <c r="O231" s="206"/>
      <c r="P231" s="206"/>
      <c r="Q231" s="206"/>
      <c r="R231" s="414"/>
    </row>
    <row r="232" spans="1:18" ht="21.6" thickTop="1" thickBot="1" x14ac:dyDescent="0.35">
      <c r="A232" s="403"/>
      <c r="B232" s="390" t="s">
        <v>314</v>
      </c>
      <c r="C232" s="420"/>
      <c r="D232" s="235" t="str">
        <f>'1.Úvodní parametry'!$D$13</f>
        <v>NE</v>
      </c>
      <c r="E232" s="293"/>
      <c r="F232" s="421"/>
      <c r="G232" s="422" t="s">
        <v>359</v>
      </c>
      <c r="H232" s="132"/>
      <c r="J232" s="208"/>
      <c r="K232" s="208"/>
      <c r="L232" s="208"/>
      <c r="N232" s="142" t="s">
        <v>93</v>
      </c>
    </row>
    <row r="233" spans="1:18" ht="15" thickTop="1" x14ac:dyDescent="0.3">
      <c r="A233" s="403"/>
      <c r="B233" s="404"/>
      <c r="C233" s="378"/>
      <c r="D233" s="405"/>
      <c r="E233" s="303"/>
      <c r="F233" s="415"/>
      <c r="G233" s="304"/>
      <c r="H233" s="132"/>
      <c r="J233" s="206"/>
      <c r="K233" s="206"/>
      <c r="L233" s="206"/>
      <c r="N233" s="142" t="s">
        <v>93</v>
      </c>
    </row>
    <row r="234" spans="1:18" ht="24.75" customHeight="1" x14ac:dyDescent="0.3">
      <c r="A234" s="398"/>
      <c r="B234" s="271" t="s">
        <v>369</v>
      </c>
      <c r="C234" s="268" t="s">
        <v>30</v>
      </c>
      <c r="D234" s="364" t="s">
        <v>239</v>
      </c>
      <c r="E234" s="297"/>
      <c r="F234" s="270" t="s">
        <v>42</v>
      </c>
      <c r="G234" s="271" t="s">
        <v>19</v>
      </c>
      <c r="H234" s="132"/>
      <c r="J234" s="143" t="s">
        <v>3</v>
      </c>
      <c r="K234" s="144" t="s">
        <v>43</v>
      </c>
      <c r="L234" s="145" t="str">
        <f>'4. Kalkulace TCO a Porovnání'!$J$5</f>
        <v>v Kč včetně DPH</v>
      </c>
      <c r="N234" s="142" t="s">
        <v>93</v>
      </c>
    </row>
    <row r="235" spans="1:18" x14ac:dyDescent="0.3">
      <c r="A235" s="403"/>
      <c r="B235" s="404" t="s">
        <v>370</v>
      </c>
      <c r="C235" s="302" t="str">
        <f>'1.Úvodní parametry'!$D$26</f>
        <v>Hodina/rok</v>
      </c>
      <c r="D235" s="252">
        <v>3</v>
      </c>
      <c r="E235" s="303">
        <f>VLOOKUP(D235,'1.Úvodní parametry'!$D$43:$E$45,2,FALSE)</f>
        <v>709</v>
      </c>
      <c r="F235" s="374">
        <v>0</v>
      </c>
      <c r="G235" s="304"/>
      <c r="H235" s="132"/>
      <c r="I235" s="152" t="s">
        <v>371</v>
      </c>
      <c r="J235" s="146">
        <f>E235*F235</f>
        <v>0</v>
      </c>
      <c r="K235" s="147">
        <f>E235*F235</f>
        <v>0</v>
      </c>
      <c r="L235" s="148">
        <f t="shared" ref="L235:L240" si="41">IF($L$210=$J$210,J235,K235)</f>
        <v>0</v>
      </c>
      <c r="N235" s="142" t="s">
        <v>372</v>
      </c>
    </row>
    <row r="236" spans="1:18" x14ac:dyDescent="0.3">
      <c r="A236" s="403"/>
      <c r="B236" s="404" t="s">
        <v>370</v>
      </c>
      <c r="C236" s="309" t="str">
        <f>'1.Úvodní parametry'!$D$24</f>
        <v>Kč/rok</v>
      </c>
      <c r="D236" s="405"/>
      <c r="E236" s="303"/>
      <c r="F236" s="339">
        <v>0</v>
      </c>
      <c r="G236" s="304"/>
      <c r="H236" s="132"/>
      <c r="I236" s="152" t="s">
        <v>371</v>
      </c>
      <c r="J236" s="146">
        <f>IF($J$210='1.Úvodní parametry'!$D$3,'2. Vstupní data on-premise '!F236,'2. Vstupní data on-premise '!F236/(1+$K$209))</f>
        <v>0</v>
      </c>
      <c r="K236" s="147">
        <f>IF($K$210='1.Úvodní parametry'!$D$3,'2. Vstupní data on-premise '!F236,'2. Vstupní data on-premise '!F236*(1+$K$209))</f>
        <v>0</v>
      </c>
      <c r="L236" s="148">
        <f t="shared" si="41"/>
        <v>0</v>
      </c>
      <c r="N236" s="142" t="s">
        <v>93</v>
      </c>
    </row>
    <row r="237" spans="1:18" x14ac:dyDescent="0.3">
      <c r="A237" s="403"/>
      <c r="B237" s="404" t="s">
        <v>373</v>
      </c>
      <c r="C237" s="302" t="str">
        <f>'1.Úvodní parametry'!$D$26</f>
        <v>Hodina/rok</v>
      </c>
      <c r="D237" s="252">
        <v>3</v>
      </c>
      <c r="E237" s="303">
        <f>VLOOKUP(D237,'1.Úvodní parametry'!$D$43:$E$45,2,FALSE)</f>
        <v>709</v>
      </c>
      <c r="F237" s="424">
        <v>0</v>
      </c>
      <c r="G237" s="304"/>
      <c r="H237" s="132"/>
      <c r="I237" s="152" t="s">
        <v>374</v>
      </c>
      <c r="J237" s="146">
        <f>E237*F237</f>
        <v>0</v>
      </c>
      <c r="K237" s="147">
        <f>E237*F237</f>
        <v>0</v>
      </c>
      <c r="L237" s="148">
        <f t="shared" si="41"/>
        <v>0</v>
      </c>
      <c r="N237" s="142" t="s">
        <v>372</v>
      </c>
    </row>
    <row r="238" spans="1:18" x14ac:dyDescent="0.3">
      <c r="A238" s="403"/>
      <c r="B238" s="404" t="s">
        <v>373</v>
      </c>
      <c r="C238" s="309" t="str">
        <f>'1.Úvodní parametry'!$D$24</f>
        <v>Kč/rok</v>
      </c>
      <c r="D238" s="405"/>
      <c r="E238" s="303"/>
      <c r="F238" s="339">
        <v>0</v>
      </c>
      <c r="G238" s="304"/>
      <c r="H238" s="132"/>
      <c r="I238" s="152" t="s">
        <v>374</v>
      </c>
      <c r="J238" s="146">
        <f>IF($J$210='1.Úvodní parametry'!$D$3,'2. Vstupní data on-premise '!F238,'2. Vstupní data on-premise '!F238/(1+$K$209))</f>
        <v>0</v>
      </c>
      <c r="K238" s="147">
        <f>IF($K$210='1.Úvodní parametry'!$D$3,'2. Vstupní data on-premise '!F238,'2. Vstupní data on-premise '!F238*(1+$K$209))</f>
        <v>0</v>
      </c>
      <c r="L238" s="148">
        <f t="shared" si="41"/>
        <v>0</v>
      </c>
      <c r="N238" s="142" t="s">
        <v>93</v>
      </c>
    </row>
    <row r="239" spans="1:18" x14ac:dyDescent="0.3">
      <c r="A239" s="403"/>
      <c r="B239" s="404" t="s">
        <v>375</v>
      </c>
      <c r="C239" s="302" t="str">
        <f>'1.Úvodní parametry'!$D$26</f>
        <v>Hodina/rok</v>
      </c>
      <c r="D239" s="252">
        <v>2</v>
      </c>
      <c r="E239" s="303">
        <f>VLOOKUP(D239,'1.Úvodní parametry'!$D$43:$E$45,2,FALSE)</f>
        <v>657</v>
      </c>
      <c r="F239" s="374">
        <v>0</v>
      </c>
      <c r="G239" s="304" t="s">
        <v>376</v>
      </c>
      <c r="H239" s="132"/>
      <c r="I239" s="152" t="s">
        <v>377</v>
      </c>
      <c r="J239" s="146">
        <f>E239*F239</f>
        <v>0</v>
      </c>
      <c r="K239" s="147">
        <f>E239*F239</f>
        <v>0</v>
      </c>
      <c r="L239" s="148">
        <f t="shared" si="41"/>
        <v>0</v>
      </c>
      <c r="N239" s="142" t="s">
        <v>372</v>
      </c>
    </row>
    <row r="240" spans="1:18" ht="15" thickBot="1" x14ac:dyDescent="0.35">
      <c r="A240" s="403"/>
      <c r="B240" s="404" t="s">
        <v>378</v>
      </c>
      <c r="C240" s="309" t="str">
        <f>'1.Úvodní parametry'!$D$24</f>
        <v>Kč/rok</v>
      </c>
      <c r="D240" s="405"/>
      <c r="E240" s="303"/>
      <c r="F240" s="253">
        <v>0</v>
      </c>
      <c r="G240" s="304" t="s">
        <v>376</v>
      </c>
      <c r="H240" s="132"/>
      <c r="I240" s="152" t="s">
        <v>377</v>
      </c>
      <c r="J240" s="149">
        <f>IF($J$210='1.Úvodní parametry'!$D$3,'2. Vstupní data on-premise '!F240,'2. Vstupní data on-premise '!F240/(1+$K$209))</f>
        <v>0</v>
      </c>
      <c r="K240" s="150">
        <f>IF($K$210='1.Úvodní parametry'!$D$3,'2. Vstupní data on-premise '!F240,'2. Vstupní data on-premise '!F240*(1+$K$209))</f>
        <v>0</v>
      </c>
      <c r="L240" s="151">
        <f t="shared" si="41"/>
        <v>0</v>
      </c>
      <c r="N240" s="142" t="s">
        <v>93</v>
      </c>
    </row>
    <row r="241" spans="1:14" ht="12" customHeight="1" thickTop="1" x14ac:dyDescent="0.3">
      <c r="A241" s="403"/>
      <c r="B241" s="425"/>
      <c r="C241" s="426"/>
      <c r="D241" s="427"/>
      <c r="E241" s="428"/>
      <c r="F241" s="429"/>
      <c r="G241" s="430"/>
      <c r="H241" s="132"/>
      <c r="J241" s="209">
        <f>SUM(J235:J240)</f>
        <v>0</v>
      </c>
      <c r="K241" s="209">
        <f t="shared" ref="K241:L241" si="42">SUM(K235:K240)</f>
        <v>0</v>
      </c>
      <c r="L241" s="209">
        <f t="shared" si="42"/>
        <v>0</v>
      </c>
      <c r="N241" s="142" t="s">
        <v>93</v>
      </c>
    </row>
    <row r="242" spans="1:14" ht="12" customHeight="1" thickBot="1" x14ac:dyDescent="0.35">
      <c r="A242" s="403"/>
      <c r="B242" s="404"/>
      <c r="C242" s="378"/>
      <c r="D242" s="405"/>
      <c r="E242" s="303"/>
      <c r="F242" s="415"/>
      <c r="G242" s="304"/>
      <c r="H242" s="132"/>
      <c r="J242" s="205">
        <f>J241*DelkaProjektu</f>
        <v>0</v>
      </c>
      <c r="K242" s="210">
        <f>K241*DelkaProjektu</f>
        <v>0</v>
      </c>
      <c r="L242" s="210">
        <f>L241*DelkaProjektu</f>
        <v>0</v>
      </c>
      <c r="N242" s="142" t="s">
        <v>93</v>
      </c>
    </row>
    <row r="243" spans="1:14" ht="24.75" customHeight="1" thickTop="1" x14ac:dyDescent="0.3">
      <c r="A243" s="398"/>
      <c r="B243" s="271" t="s">
        <v>379</v>
      </c>
      <c r="C243" s="268" t="s">
        <v>30</v>
      </c>
      <c r="D243" s="364" t="s">
        <v>239</v>
      </c>
      <c r="E243" s="297"/>
      <c r="F243" s="270" t="s">
        <v>42</v>
      </c>
      <c r="G243" s="271" t="s">
        <v>19</v>
      </c>
      <c r="H243" s="132"/>
      <c r="J243" s="143" t="s">
        <v>3</v>
      </c>
      <c r="K243" s="144" t="s">
        <v>43</v>
      </c>
      <c r="L243" s="145" t="str">
        <f>'4. Kalkulace TCO a Porovnání'!$J$5</f>
        <v>v Kč včetně DPH</v>
      </c>
      <c r="N243" s="142" t="s">
        <v>93</v>
      </c>
    </row>
    <row r="244" spans="1:14" x14ac:dyDescent="0.3">
      <c r="A244" s="403"/>
      <c r="B244" s="404" t="s">
        <v>380</v>
      </c>
      <c r="C244" s="302" t="str">
        <f>'1.Úvodní parametry'!$D$34</f>
        <v>Hodina</v>
      </c>
      <c r="D244" s="252">
        <v>3</v>
      </c>
      <c r="E244" s="303">
        <f>VLOOKUP(D244,'1.Úvodní parametry'!$D$43:$E$45,2,FALSE)</f>
        <v>709</v>
      </c>
      <c r="F244" s="374">
        <v>0</v>
      </c>
      <c r="G244" s="304"/>
      <c r="H244" s="132"/>
      <c r="I244" s="152" t="s">
        <v>381</v>
      </c>
      <c r="J244" s="146">
        <f>E244*F244</f>
        <v>0</v>
      </c>
      <c r="K244" s="147">
        <f>E244*F244</f>
        <v>0</v>
      </c>
      <c r="L244" s="148">
        <f t="shared" ref="L244:L249" si="43">IF($L$210=$J$210,J244,K244)</f>
        <v>0</v>
      </c>
      <c r="N244" s="142" t="s">
        <v>352</v>
      </c>
    </row>
    <row r="245" spans="1:14" x14ac:dyDescent="0.3">
      <c r="A245" s="403"/>
      <c r="B245" s="404" t="s">
        <v>380</v>
      </c>
      <c r="C245" s="302" t="str">
        <f>JenotkaMěny</f>
        <v>Kč</v>
      </c>
      <c r="D245" s="405"/>
      <c r="E245" s="303"/>
      <c r="F245" s="339">
        <v>0</v>
      </c>
      <c r="G245" s="304"/>
      <c r="H245" s="132"/>
      <c r="I245" s="152" t="s">
        <v>381</v>
      </c>
      <c r="J245" s="146">
        <f>IF($J$210='1.Úvodní parametry'!$D$3,'2. Vstupní data on-premise '!F245,'2. Vstupní data on-premise '!F245/(1+$K$209))</f>
        <v>0</v>
      </c>
      <c r="K245" s="147">
        <f>IF($K$210='1.Úvodní parametry'!$D$3,'2. Vstupní data on-premise '!F245,'2. Vstupní data on-premise '!F245*(1+$K$209))</f>
        <v>0</v>
      </c>
      <c r="L245" s="148">
        <f t="shared" si="43"/>
        <v>0</v>
      </c>
      <c r="N245" s="142" t="s">
        <v>93</v>
      </c>
    </row>
    <row r="246" spans="1:14" x14ac:dyDescent="0.3">
      <c r="A246" s="403"/>
      <c r="B246" s="404" t="s">
        <v>382</v>
      </c>
      <c r="C246" s="302" t="str">
        <f>'1.Úvodní parametry'!$D$34</f>
        <v>Hodina</v>
      </c>
      <c r="D246" s="252">
        <v>3</v>
      </c>
      <c r="E246" s="303">
        <f>VLOOKUP(D246,'1.Úvodní parametry'!$D$43:$E$45,2,FALSE)</f>
        <v>709</v>
      </c>
      <c r="F246" s="374">
        <v>0</v>
      </c>
      <c r="G246" s="304"/>
      <c r="H246" s="132"/>
      <c r="I246" s="152" t="s">
        <v>383</v>
      </c>
      <c r="J246" s="146">
        <f>E246*F246</f>
        <v>0</v>
      </c>
      <c r="K246" s="147">
        <f>E246*F246</f>
        <v>0</v>
      </c>
      <c r="L246" s="148">
        <f t="shared" si="43"/>
        <v>0</v>
      </c>
      <c r="N246" s="142" t="s">
        <v>352</v>
      </c>
    </row>
    <row r="247" spans="1:14" x14ac:dyDescent="0.3">
      <c r="A247" s="256"/>
      <c r="B247" s="404" t="s">
        <v>382</v>
      </c>
      <c r="C247" s="302" t="str">
        <f>JenotkaMěny</f>
        <v>Kč</v>
      </c>
      <c r="D247" s="405"/>
      <c r="E247" s="303"/>
      <c r="F247" s="339">
        <v>0</v>
      </c>
      <c r="G247" s="304"/>
      <c r="H247" s="132"/>
      <c r="I247" s="152" t="s">
        <v>383</v>
      </c>
      <c r="J247" s="146">
        <f>IF($J$210='1.Úvodní parametry'!$D$3,'2. Vstupní data on-premise '!F247,'2. Vstupní data on-premise '!F247/(1+$K$209))</f>
        <v>0</v>
      </c>
      <c r="K247" s="147">
        <f>IF($K$210='1.Úvodní parametry'!$D$3,'2. Vstupní data on-premise '!F247,'2. Vstupní data on-premise '!F247*(1+$K$209))</f>
        <v>0</v>
      </c>
      <c r="L247" s="148">
        <f t="shared" si="43"/>
        <v>0</v>
      </c>
      <c r="N247" s="142" t="s">
        <v>93</v>
      </c>
    </row>
    <row r="248" spans="1:14" x14ac:dyDescent="0.3">
      <c r="A248" s="256"/>
      <c r="B248" s="404" t="s">
        <v>384</v>
      </c>
      <c r="C248" s="302" t="str">
        <f>'1.Úvodní parametry'!$D$34</f>
        <v>Hodina</v>
      </c>
      <c r="D248" s="252">
        <v>2</v>
      </c>
      <c r="E248" s="303">
        <f>VLOOKUP(D248,'1.Úvodní parametry'!$D$43:$E$45,2,FALSE)</f>
        <v>657</v>
      </c>
      <c r="F248" s="374">
        <v>0</v>
      </c>
      <c r="G248" s="304"/>
      <c r="H248" s="132"/>
      <c r="I248" s="152" t="s">
        <v>385</v>
      </c>
      <c r="J248" s="146">
        <f>E248*F248</f>
        <v>0</v>
      </c>
      <c r="K248" s="147">
        <f>E248*F248</f>
        <v>0</v>
      </c>
      <c r="L248" s="148">
        <f t="shared" si="43"/>
        <v>0</v>
      </c>
      <c r="N248" s="142" t="s">
        <v>352</v>
      </c>
    </row>
    <row r="249" spans="1:14" x14ac:dyDescent="0.3">
      <c r="A249" s="256"/>
      <c r="B249" s="404" t="s">
        <v>384</v>
      </c>
      <c r="C249" s="302" t="str">
        <f>JenotkaMěny</f>
        <v>Kč</v>
      </c>
      <c r="D249" s="405"/>
      <c r="E249" s="303"/>
      <c r="F249" s="253">
        <v>0</v>
      </c>
      <c r="G249" s="304"/>
      <c r="H249" s="132"/>
      <c r="I249" s="152" t="s">
        <v>385</v>
      </c>
      <c r="J249" s="146">
        <f>IF($J$210='1.Úvodní parametry'!$D$3,'2. Vstupní data on-premise '!F249,'2. Vstupní data on-premise '!F249/(1+$K$209))</f>
        <v>0</v>
      </c>
      <c r="K249" s="147">
        <f>IF($K$210='1.Úvodní parametry'!$D$3,'2. Vstupní data on-premise '!F249,'2. Vstupní data on-premise '!F249*(1+$K$209))</f>
        <v>0</v>
      </c>
      <c r="L249" s="148">
        <f t="shared" si="43"/>
        <v>0</v>
      </c>
      <c r="N249" s="142" t="s">
        <v>93</v>
      </c>
    </row>
    <row r="250" spans="1:14" ht="20.399999999999999" customHeight="1" thickBot="1" x14ac:dyDescent="0.35">
      <c r="A250" s="256"/>
      <c r="B250" s="406"/>
      <c r="C250" s="407"/>
      <c r="D250" s="408" t="s">
        <v>12</v>
      </c>
      <c r="E250" s="409"/>
      <c r="F250" s="410"/>
      <c r="G250" s="411"/>
      <c r="H250" s="132"/>
      <c r="J250" s="205">
        <f>SUM(J244:J249)</f>
        <v>0</v>
      </c>
      <c r="K250" s="205">
        <f>SUM(K244:K249)</f>
        <v>0</v>
      </c>
      <c r="L250" s="205">
        <f>SUM(L244:L249)</f>
        <v>0</v>
      </c>
      <c r="N250" s="142" t="s">
        <v>93</v>
      </c>
    </row>
    <row r="251" spans="1:14" ht="21.6" thickTop="1" thickBot="1" x14ac:dyDescent="0.35">
      <c r="A251" s="256"/>
      <c r="B251" s="390" t="s">
        <v>314</v>
      </c>
      <c r="C251" s="431"/>
      <c r="D251" s="235" t="str">
        <f>'1.Úvodní parametry'!$D$13</f>
        <v>NE</v>
      </c>
      <c r="E251" s="432"/>
      <c r="F251" s="433"/>
      <c r="G251" s="392" t="s">
        <v>359</v>
      </c>
      <c r="H251" s="132"/>
      <c r="I251" s="208"/>
      <c r="J251" s="208"/>
      <c r="K251" s="208"/>
      <c r="L251" s="208"/>
      <c r="N251" s="142" t="s">
        <v>93</v>
      </c>
    </row>
    <row r="252" spans="1:14" ht="15" thickTop="1" x14ac:dyDescent="0.3">
      <c r="A252" s="256"/>
      <c r="B252" s="404"/>
      <c r="C252" s="309"/>
      <c r="D252" s="405"/>
      <c r="E252" s="303"/>
      <c r="F252" s="415"/>
      <c r="G252" s="304"/>
      <c r="H252" s="132"/>
      <c r="N252" s="142" t="s">
        <v>93</v>
      </c>
    </row>
    <row r="253" spans="1:14" ht="15" thickBot="1" x14ac:dyDescent="0.35">
      <c r="B253" s="404"/>
      <c r="C253" s="309"/>
      <c r="D253" s="405"/>
      <c r="E253" s="303"/>
      <c r="F253" s="415"/>
      <c r="G253" s="304"/>
      <c r="H253" s="132"/>
      <c r="N253" s="142" t="s">
        <v>93</v>
      </c>
    </row>
    <row r="254" spans="1:14" ht="15" thickBot="1" x14ac:dyDescent="0.35">
      <c r="B254" s="264" t="s">
        <v>386</v>
      </c>
      <c r="C254" s="265"/>
      <c r="D254" s="265"/>
      <c r="E254" s="265"/>
      <c r="F254" s="266"/>
      <c r="G254" s="267"/>
      <c r="H254" s="132"/>
      <c r="N254" s="142" t="s">
        <v>93</v>
      </c>
    </row>
    <row r="255" spans="1:14" x14ac:dyDescent="0.3">
      <c r="B255" s="268" t="s">
        <v>387</v>
      </c>
      <c r="C255" s="268" t="s">
        <v>30</v>
      </c>
      <c r="D255" s="268"/>
      <c r="E255" s="268"/>
      <c r="F255" s="270" t="s">
        <v>42</v>
      </c>
      <c r="G255" s="271" t="s">
        <v>19</v>
      </c>
      <c r="H255" s="132"/>
      <c r="J255" s="143" t="s">
        <v>3</v>
      </c>
      <c r="K255" s="144" t="s">
        <v>43</v>
      </c>
      <c r="L255" s="145" t="str">
        <f>'4. Kalkulace TCO a Porovnání'!$J$5</f>
        <v>v Kč včetně DPH</v>
      </c>
      <c r="N255" s="142" t="s">
        <v>93</v>
      </c>
    </row>
    <row r="256" spans="1:14" x14ac:dyDescent="0.3">
      <c r="B256" s="308" t="s">
        <v>83</v>
      </c>
      <c r="C256" s="309" t="str">
        <f>'1.Úvodní parametry'!$D$29</f>
        <v>Kč/infrastruktura/rok</v>
      </c>
      <c r="D256" s="309"/>
      <c r="E256" s="309"/>
      <c r="F256" s="253">
        <v>0</v>
      </c>
      <c r="G256" s="304" t="s">
        <v>388</v>
      </c>
      <c r="H256" s="132"/>
      <c r="J256" s="211"/>
      <c r="K256" s="212"/>
      <c r="L256" s="148"/>
      <c r="N256" s="142" t="s">
        <v>93</v>
      </c>
    </row>
    <row r="257" spans="2:14" x14ac:dyDescent="0.3">
      <c r="B257" s="434" t="s">
        <v>84</v>
      </c>
      <c r="C257" s="435" t="str">
        <f>'1.Úvodní parametry'!$D$30</f>
        <v>Kč/platforma/rok</v>
      </c>
      <c r="D257" s="435"/>
      <c r="E257" s="435"/>
      <c r="F257" s="436">
        <v>0</v>
      </c>
      <c r="G257" s="437" t="s">
        <v>388</v>
      </c>
      <c r="H257" s="132"/>
      <c r="J257" s="160"/>
      <c r="K257" s="161"/>
      <c r="L257" s="148"/>
      <c r="N257" s="142" t="s">
        <v>93</v>
      </c>
    </row>
    <row r="258" spans="2:14" ht="15" thickBot="1" x14ac:dyDescent="0.35">
      <c r="B258" s="438" t="s">
        <v>85</v>
      </c>
      <c r="C258" s="439" t="str">
        <f>'1.Úvodní parametry'!$D$31</f>
        <v>Kč/software/rok</v>
      </c>
      <c r="D258" s="439"/>
      <c r="E258" s="439"/>
      <c r="F258" s="440">
        <v>0</v>
      </c>
      <c r="G258" s="441" t="s">
        <v>388</v>
      </c>
      <c r="H258" s="132"/>
      <c r="J258" s="160"/>
      <c r="K258" s="161"/>
      <c r="L258" s="148"/>
      <c r="N258" s="142" t="s">
        <v>93</v>
      </c>
    </row>
    <row r="259" spans="2:14" ht="15.6" thickTop="1" thickBot="1" x14ac:dyDescent="0.35">
      <c r="B259" s="388" t="s">
        <v>389</v>
      </c>
      <c r="C259" s="442"/>
      <c r="D259" s="389"/>
      <c r="E259" s="389"/>
      <c r="F259" s="484">
        <f>SUM(F256:F258)</f>
        <v>0</v>
      </c>
      <c r="G259" s="389"/>
      <c r="H259" s="132"/>
      <c r="I259" s="152" t="s">
        <v>390</v>
      </c>
      <c r="J259" s="160">
        <f>ROUND(IF('1.Úvodní parametry'!$D$3=$J$261,F259,F259/(1+$K$260)),0)</f>
        <v>0</v>
      </c>
      <c r="K259" s="161">
        <f>ROUND(IF('1.Úvodní parametry'!$D$3=$K$261,F259,F259*(1+$K$260)),0)</f>
        <v>0</v>
      </c>
      <c r="L259" s="148">
        <f>IF($L$261=$J$261,J259,K259)</f>
        <v>0</v>
      </c>
      <c r="N259" s="142" t="s">
        <v>93</v>
      </c>
    </row>
    <row r="260" spans="2:14" ht="15.6" thickTop="1" thickBot="1" x14ac:dyDescent="0.35">
      <c r="B260" s="256"/>
      <c r="C260" s="256"/>
      <c r="D260" s="256"/>
      <c r="E260" s="256"/>
      <c r="F260" s="256"/>
      <c r="G260" s="257"/>
      <c r="H260" s="132"/>
      <c r="J260" s="200" t="s">
        <v>91</v>
      </c>
      <c r="K260" s="213">
        <f>'1.Úvodní parametry'!$D$4</f>
        <v>0.21</v>
      </c>
      <c r="L260" s="202" t="s">
        <v>303</v>
      </c>
      <c r="N260" s="142" t="s">
        <v>93</v>
      </c>
    </row>
    <row r="261" spans="2:14" ht="28.2" thickBot="1" x14ac:dyDescent="0.35">
      <c r="B261" s="443" t="s">
        <v>391</v>
      </c>
      <c r="C261" s="444" t="s">
        <v>30</v>
      </c>
      <c r="D261" s="266"/>
      <c r="E261" s="266"/>
      <c r="F261" s="266" t="s">
        <v>392</v>
      </c>
      <c r="G261" s="266" t="s">
        <v>19</v>
      </c>
      <c r="H261" s="132"/>
      <c r="I261" s="214"/>
      <c r="J261" s="143" t="s">
        <v>3</v>
      </c>
      <c r="K261" s="144" t="s">
        <v>43</v>
      </c>
      <c r="L261" s="145" t="str">
        <f>'4. Kalkulace TCO a Porovnání'!$J$5</f>
        <v>v Kč včetně DPH</v>
      </c>
      <c r="N261" s="142" t="s">
        <v>93</v>
      </c>
    </row>
    <row r="262" spans="2:14" ht="30.6" x14ac:dyDescent="0.3">
      <c r="B262" s="445" t="s">
        <v>393</v>
      </c>
      <c r="C262" s="446" t="s">
        <v>707</v>
      </c>
      <c r="D262" s="282"/>
      <c r="E262" s="447"/>
      <c r="F262" s="270" t="s">
        <v>42</v>
      </c>
      <c r="G262" s="448" t="s">
        <v>394</v>
      </c>
      <c r="H262" s="132"/>
      <c r="I262" s="214"/>
      <c r="J262" s="211"/>
      <c r="K262" s="212"/>
      <c r="L262" s="148"/>
      <c r="N262" s="142" t="s">
        <v>93</v>
      </c>
    </row>
    <row r="263" spans="2:14" x14ac:dyDescent="0.3">
      <c r="B263" s="449" t="s">
        <v>395</v>
      </c>
      <c r="C263" s="450" t="s">
        <v>77</v>
      </c>
      <c r="D263" s="449"/>
      <c r="E263" s="449"/>
      <c r="F263" s="71">
        <v>0</v>
      </c>
      <c r="G263" s="449" t="s">
        <v>704</v>
      </c>
      <c r="H263" s="132"/>
      <c r="I263" s="215" t="s">
        <v>396</v>
      </c>
      <c r="J263" s="160">
        <f>ROUND(IF('1.Úvodní parametry'!$D$3=$J$261,F263,F263/(1+$K$260)),0)</f>
        <v>0</v>
      </c>
      <c r="K263" s="161">
        <f>ROUND(IF('1.Úvodní parametry'!$D$3=$K$261,F263,F263*(1+$K$260)),0)</f>
        <v>0</v>
      </c>
      <c r="L263" s="148">
        <f>IF($L$261=$J$261,J263,K263)</f>
        <v>0</v>
      </c>
      <c r="N263" s="142" t="s">
        <v>93</v>
      </c>
    </row>
    <row r="264" spans="2:14" x14ac:dyDescent="0.3">
      <c r="B264" s="449" t="s">
        <v>397</v>
      </c>
      <c r="C264" s="450" t="s">
        <v>79</v>
      </c>
      <c r="D264" s="449"/>
      <c r="E264" s="449"/>
      <c r="F264" s="71">
        <v>0</v>
      </c>
      <c r="G264" s="449" t="s">
        <v>398</v>
      </c>
      <c r="H264" s="132"/>
      <c r="I264" s="214"/>
      <c r="J264" s="160">
        <f>ROUND(IF('1.Úvodní parametry'!$D$3=$J$261,F264,F264/(1+$K$260)),0)</f>
        <v>0</v>
      </c>
      <c r="K264" s="161">
        <f>ROUND(IF('1.Úvodní parametry'!$D$3=$K$261,F264,F264*(1+$K$260)),0)</f>
        <v>0</v>
      </c>
      <c r="L264" s="148">
        <f t="shared" ref="L264:L283" si="44">IF($L$261=$J$261,J264,K264)</f>
        <v>0</v>
      </c>
      <c r="N264" s="142" t="s">
        <v>93</v>
      </c>
    </row>
    <row r="265" spans="2:14" x14ac:dyDescent="0.3">
      <c r="B265" s="449" t="s">
        <v>399</v>
      </c>
      <c r="C265" s="450" t="s">
        <v>79</v>
      </c>
      <c r="D265" s="449"/>
      <c r="E265" s="449"/>
      <c r="F265" s="71">
        <v>0</v>
      </c>
      <c r="G265" s="449" t="s">
        <v>400</v>
      </c>
      <c r="H265" s="132"/>
      <c r="I265" s="214"/>
      <c r="J265" s="160">
        <f>ROUND(IF('1.Úvodní parametry'!$D$3=$J$261,F265,F265/(1+$K$260)),0)</f>
        <v>0</v>
      </c>
      <c r="K265" s="161">
        <f>ROUND(IF('1.Úvodní parametry'!$D$3=$K$261,F265,F265*(1+$K$260)),0)</f>
        <v>0</v>
      </c>
      <c r="L265" s="148">
        <f t="shared" si="44"/>
        <v>0</v>
      </c>
      <c r="N265" s="142" t="s">
        <v>93</v>
      </c>
    </row>
    <row r="266" spans="2:14" x14ac:dyDescent="0.3">
      <c r="B266" s="449" t="s">
        <v>401</v>
      </c>
      <c r="C266" s="450" t="s">
        <v>77</v>
      </c>
      <c r="D266" s="449"/>
      <c r="E266" s="449"/>
      <c r="F266" s="71">
        <v>0</v>
      </c>
      <c r="G266" s="449"/>
      <c r="H266" s="132"/>
      <c r="I266" s="214"/>
      <c r="J266" s="160">
        <f>ROUND(IF('1.Úvodní parametry'!$D$3=$J$261,F266,F266/(1+$K$260)),0)</f>
        <v>0</v>
      </c>
      <c r="K266" s="161">
        <f>ROUND(IF('1.Úvodní parametry'!$D$3=$K$261,F266,F266*(1+$K$260)),0)</f>
        <v>0</v>
      </c>
      <c r="L266" s="148">
        <f t="shared" si="44"/>
        <v>0</v>
      </c>
      <c r="N266" s="142" t="s">
        <v>93</v>
      </c>
    </row>
    <row r="267" spans="2:14" x14ac:dyDescent="0.3">
      <c r="B267" s="449" t="s">
        <v>402</v>
      </c>
      <c r="C267" s="450" t="s">
        <v>79</v>
      </c>
      <c r="D267" s="449"/>
      <c r="E267" s="449"/>
      <c r="F267" s="71">
        <v>0</v>
      </c>
      <c r="G267" s="449" t="s">
        <v>403</v>
      </c>
      <c r="H267" s="132"/>
      <c r="I267" s="214"/>
      <c r="J267" s="160">
        <f>ROUND(IF('1.Úvodní parametry'!$D$3=$J$261,F267,F267/(1+$K$260)),0)</f>
        <v>0</v>
      </c>
      <c r="K267" s="161">
        <f>ROUND(IF('1.Úvodní parametry'!$D$3=$K$261,F267,F267*(1+$K$260)),0)</f>
        <v>0</v>
      </c>
      <c r="L267" s="148">
        <f t="shared" si="44"/>
        <v>0</v>
      </c>
      <c r="N267" s="142" t="s">
        <v>93</v>
      </c>
    </row>
    <row r="268" spans="2:14" x14ac:dyDescent="0.3">
      <c r="B268" s="449" t="s">
        <v>404</v>
      </c>
      <c r="C268" s="450" t="s">
        <v>77</v>
      </c>
      <c r="D268" s="449"/>
      <c r="E268" s="449"/>
      <c r="F268" s="71">
        <v>0</v>
      </c>
      <c r="G268" s="449"/>
      <c r="H268" s="132"/>
      <c r="I268" s="214"/>
      <c r="J268" s="160">
        <f>ROUND(IF('1.Úvodní parametry'!$D$3=$J$261,F268,F268/(1+$K$260)),0)</f>
        <v>0</v>
      </c>
      <c r="K268" s="161">
        <f>ROUND(IF('1.Úvodní parametry'!$D$3=$K$261,F268,F268*(1+$K$260)),0)</f>
        <v>0</v>
      </c>
      <c r="L268" s="148">
        <f t="shared" si="44"/>
        <v>0</v>
      </c>
      <c r="N268" s="142" t="s">
        <v>93</v>
      </c>
    </row>
    <row r="269" spans="2:14" x14ac:dyDescent="0.3">
      <c r="B269" s="449" t="s">
        <v>405</v>
      </c>
      <c r="C269" s="450" t="s">
        <v>77</v>
      </c>
      <c r="D269" s="449"/>
      <c r="E269" s="449"/>
      <c r="F269" s="71">
        <v>0</v>
      </c>
      <c r="G269" s="449"/>
      <c r="H269" s="132"/>
      <c r="I269" s="214"/>
      <c r="J269" s="160">
        <f>ROUND(IF('1.Úvodní parametry'!$D$3=$J$261,F269,F269/(1+$K$260)),0)</f>
        <v>0</v>
      </c>
      <c r="K269" s="161">
        <f>ROUND(IF('1.Úvodní parametry'!$D$3=$K$261,F269,F269*(1+$K$260)),0)</f>
        <v>0</v>
      </c>
      <c r="L269" s="148">
        <f t="shared" si="44"/>
        <v>0</v>
      </c>
      <c r="N269" s="142" t="s">
        <v>93</v>
      </c>
    </row>
    <row r="270" spans="2:14" x14ac:dyDescent="0.3">
      <c r="B270" s="449" t="s">
        <v>406</v>
      </c>
      <c r="C270" s="450" t="s">
        <v>77</v>
      </c>
      <c r="D270" s="449"/>
      <c r="E270" s="449"/>
      <c r="F270" s="71">
        <v>0</v>
      </c>
      <c r="G270" s="449"/>
      <c r="H270" s="132"/>
      <c r="I270" s="214"/>
      <c r="J270" s="160">
        <f>ROUND(IF('1.Úvodní parametry'!$D$3=$J$261,F270,F270/(1+$K$260)),0)</f>
        <v>0</v>
      </c>
      <c r="K270" s="161">
        <f>ROUND(IF('1.Úvodní parametry'!$D$3=$K$261,F270,F270*(1+$K$260)),0)</f>
        <v>0</v>
      </c>
      <c r="L270" s="148">
        <f t="shared" si="44"/>
        <v>0</v>
      </c>
      <c r="N270" s="142" t="s">
        <v>93</v>
      </c>
    </row>
    <row r="271" spans="2:14" x14ac:dyDescent="0.3">
      <c r="B271" s="449" t="s">
        <v>407</v>
      </c>
      <c r="C271" s="450" t="s">
        <v>77</v>
      </c>
      <c r="D271" s="449"/>
      <c r="E271" s="449"/>
      <c r="F271" s="71">
        <v>0</v>
      </c>
      <c r="G271" s="449"/>
      <c r="H271" s="132"/>
      <c r="I271" s="214"/>
      <c r="J271" s="160">
        <f>ROUND(IF('1.Úvodní parametry'!$D$3=$J$261,F271,F271/(1+$K$260)),0)</f>
        <v>0</v>
      </c>
      <c r="K271" s="161">
        <f>ROUND(IF('1.Úvodní parametry'!$D$3=$K$261,F271,F271*(1+$K$260)),0)</f>
        <v>0</v>
      </c>
      <c r="L271" s="148">
        <f t="shared" si="44"/>
        <v>0</v>
      </c>
      <c r="N271" s="142" t="s">
        <v>93</v>
      </c>
    </row>
    <row r="272" spans="2:14" ht="15" thickBot="1" x14ac:dyDescent="0.35">
      <c r="B272" s="449" t="s">
        <v>408</v>
      </c>
      <c r="C272" s="450" t="s">
        <v>77</v>
      </c>
      <c r="D272" s="449"/>
      <c r="E272" s="449"/>
      <c r="F272" s="71">
        <v>0</v>
      </c>
      <c r="G272" s="449"/>
      <c r="H272" s="132"/>
      <c r="I272" s="214"/>
      <c r="J272" s="160">
        <f>ROUND(IF('1.Úvodní parametry'!$D$3=$J$261,F272,F272/(1+$K$260)),0)</f>
        <v>0</v>
      </c>
      <c r="K272" s="161">
        <f>ROUND(IF('1.Úvodní parametry'!$D$3=$K$261,F272,F272*(1+$K$260)),0)</f>
        <v>0</v>
      </c>
      <c r="L272" s="148">
        <f t="shared" si="44"/>
        <v>0</v>
      </c>
      <c r="N272" s="142" t="s">
        <v>93</v>
      </c>
    </row>
    <row r="273" spans="2:15" ht="31.2" thickTop="1" x14ac:dyDescent="0.3">
      <c r="B273" s="451" t="s">
        <v>409</v>
      </c>
      <c r="C273" s="452" t="s">
        <v>707</v>
      </c>
      <c r="D273" s="453"/>
      <c r="E273" s="454"/>
      <c r="F273" s="455" t="s">
        <v>42</v>
      </c>
      <c r="G273" s="456" t="s">
        <v>410</v>
      </c>
      <c r="H273" s="132"/>
      <c r="I273" s="214"/>
      <c r="J273" s="143" t="s">
        <v>3</v>
      </c>
      <c r="K273" s="144" t="s">
        <v>43</v>
      </c>
      <c r="L273" s="148" t="str">
        <f t="shared" si="44"/>
        <v>v Kč včetně DPH</v>
      </c>
      <c r="N273" s="142" t="s">
        <v>93</v>
      </c>
    </row>
    <row r="274" spans="2:15" x14ac:dyDescent="0.3">
      <c r="B274" s="449" t="s">
        <v>411</v>
      </c>
      <c r="C274" s="450" t="s">
        <v>77</v>
      </c>
      <c r="D274" s="449"/>
      <c r="E274" s="449"/>
      <c r="F274" s="71">
        <v>0</v>
      </c>
      <c r="G274" s="449" t="s">
        <v>398</v>
      </c>
      <c r="H274" s="132"/>
      <c r="I274" s="215" t="s">
        <v>412</v>
      </c>
      <c r="J274" s="146">
        <f t="shared" ref="J274:J283" si="45">F274</f>
        <v>0</v>
      </c>
      <c r="K274" s="147">
        <f t="shared" ref="K274:K283" si="46">F274</f>
        <v>0</v>
      </c>
      <c r="L274" s="148">
        <f t="shared" si="44"/>
        <v>0</v>
      </c>
      <c r="N274" s="142" t="s">
        <v>93</v>
      </c>
    </row>
    <row r="275" spans="2:15" x14ac:dyDescent="0.3">
      <c r="B275" s="449" t="s">
        <v>413</v>
      </c>
      <c r="C275" s="450" t="s">
        <v>79</v>
      </c>
      <c r="D275" s="449"/>
      <c r="E275" s="449"/>
      <c r="F275" s="71">
        <v>0</v>
      </c>
      <c r="G275" s="449"/>
      <c r="H275" s="132"/>
      <c r="I275" s="214"/>
      <c r="J275" s="146">
        <f t="shared" si="45"/>
        <v>0</v>
      </c>
      <c r="K275" s="147">
        <f t="shared" si="46"/>
        <v>0</v>
      </c>
      <c r="L275" s="148">
        <f t="shared" si="44"/>
        <v>0</v>
      </c>
      <c r="N275" s="142" t="s">
        <v>93</v>
      </c>
    </row>
    <row r="276" spans="2:15" x14ac:dyDescent="0.3">
      <c r="B276" s="449" t="s">
        <v>414</v>
      </c>
      <c r="C276" s="450" t="s">
        <v>77</v>
      </c>
      <c r="D276" s="449"/>
      <c r="E276" s="449"/>
      <c r="F276" s="71">
        <v>0</v>
      </c>
      <c r="G276" s="449"/>
      <c r="H276" s="132"/>
      <c r="I276" s="214"/>
      <c r="J276" s="146">
        <f t="shared" si="45"/>
        <v>0</v>
      </c>
      <c r="K276" s="147">
        <f t="shared" si="46"/>
        <v>0</v>
      </c>
      <c r="L276" s="148">
        <f t="shared" si="44"/>
        <v>0</v>
      </c>
      <c r="N276" s="142" t="s">
        <v>93</v>
      </c>
    </row>
    <row r="277" spans="2:15" x14ac:dyDescent="0.3">
      <c r="B277" s="449" t="s">
        <v>416</v>
      </c>
      <c r="C277" s="450" t="s">
        <v>77</v>
      </c>
      <c r="D277" s="449"/>
      <c r="E277" s="449"/>
      <c r="F277" s="71">
        <v>0</v>
      </c>
      <c r="G277" s="449"/>
      <c r="H277" s="132"/>
      <c r="I277" s="214"/>
      <c r="J277" s="146">
        <f t="shared" si="45"/>
        <v>0</v>
      </c>
      <c r="K277" s="147">
        <f t="shared" si="46"/>
        <v>0</v>
      </c>
      <c r="L277" s="148">
        <f t="shared" si="44"/>
        <v>0</v>
      </c>
      <c r="N277" s="142" t="s">
        <v>93</v>
      </c>
    </row>
    <row r="278" spans="2:15" x14ac:dyDescent="0.3">
      <c r="B278" s="449" t="s">
        <v>417</v>
      </c>
      <c r="C278" s="450" t="s">
        <v>77</v>
      </c>
      <c r="D278" s="449"/>
      <c r="E278" s="449"/>
      <c r="F278" s="71">
        <v>0</v>
      </c>
      <c r="G278" s="449"/>
      <c r="H278" s="132"/>
      <c r="I278" s="214"/>
      <c r="J278" s="146">
        <f t="shared" si="45"/>
        <v>0</v>
      </c>
      <c r="K278" s="147">
        <f t="shared" si="46"/>
        <v>0</v>
      </c>
      <c r="L278" s="148">
        <f t="shared" si="44"/>
        <v>0</v>
      </c>
      <c r="N278" s="142" t="s">
        <v>93</v>
      </c>
    </row>
    <row r="279" spans="2:15" x14ac:dyDescent="0.3">
      <c r="B279" s="449" t="s">
        <v>418</v>
      </c>
      <c r="C279" s="450" t="s">
        <v>77</v>
      </c>
      <c r="D279" s="449"/>
      <c r="E279" s="449"/>
      <c r="F279" s="71">
        <v>0</v>
      </c>
      <c r="G279" s="449"/>
      <c r="H279" s="132"/>
      <c r="I279" s="214"/>
      <c r="J279" s="146">
        <f t="shared" si="45"/>
        <v>0</v>
      </c>
      <c r="K279" s="147">
        <f t="shared" si="46"/>
        <v>0</v>
      </c>
      <c r="L279" s="148">
        <f t="shared" si="44"/>
        <v>0</v>
      </c>
      <c r="N279" s="142" t="s">
        <v>93</v>
      </c>
    </row>
    <row r="280" spans="2:15" x14ac:dyDescent="0.3">
      <c r="B280" s="449" t="s">
        <v>419</v>
      </c>
      <c r="C280" s="450" t="s">
        <v>77</v>
      </c>
      <c r="D280" s="449"/>
      <c r="E280" s="449"/>
      <c r="F280" s="71">
        <v>0</v>
      </c>
      <c r="G280" s="449"/>
      <c r="H280" s="132"/>
      <c r="I280" s="214"/>
      <c r="J280" s="146">
        <f t="shared" si="45"/>
        <v>0</v>
      </c>
      <c r="K280" s="147">
        <f t="shared" si="46"/>
        <v>0</v>
      </c>
      <c r="L280" s="148">
        <f t="shared" si="44"/>
        <v>0</v>
      </c>
      <c r="N280" s="142" t="s">
        <v>93</v>
      </c>
    </row>
    <row r="281" spans="2:15" x14ac:dyDescent="0.3">
      <c r="B281" s="449" t="s">
        <v>420</v>
      </c>
      <c r="C281" s="450" t="s">
        <v>77</v>
      </c>
      <c r="D281" s="449"/>
      <c r="E281" s="449"/>
      <c r="F281" s="71">
        <v>0</v>
      </c>
      <c r="G281" s="449"/>
      <c r="H281" s="132"/>
      <c r="I281" s="214"/>
      <c r="J281" s="146">
        <f t="shared" si="45"/>
        <v>0</v>
      </c>
      <c r="K281" s="147">
        <f t="shared" si="46"/>
        <v>0</v>
      </c>
      <c r="L281" s="148">
        <f t="shared" si="44"/>
        <v>0</v>
      </c>
      <c r="N281" s="142" t="s">
        <v>93</v>
      </c>
    </row>
    <row r="282" spans="2:15" x14ac:dyDescent="0.3">
      <c r="B282" s="449" t="s">
        <v>421</v>
      </c>
      <c r="C282" s="450" t="s">
        <v>77</v>
      </c>
      <c r="D282" s="449"/>
      <c r="E282" s="449"/>
      <c r="F282" s="71">
        <v>0</v>
      </c>
      <c r="G282" s="449"/>
      <c r="H282" s="132"/>
      <c r="I282" s="214"/>
      <c r="J282" s="146">
        <f t="shared" si="45"/>
        <v>0</v>
      </c>
      <c r="K282" s="147">
        <f t="shared" si="46"/>
        <v>0</v>
      </c>
      <c r="L282" s="148">
        <f t="shared" si="44"/>
        <v>0</v>
      </c>
      <c r="N282" s="142" t="s">
        <v>93</v>
      </c>
    </row>
    <row r="283" spans="2:15" ht="15" thickBot="1" x14ac:dyDescent="0.35">
      <c r="B283" s="457" t="s">
        <v>422</v>
      </c>
      <c r="C283" s="458" t="s">
        <v>77</v>
      </c>
      <c r="D283" s="457"/>
      <c r="E283" s="457"/>
      <c r="F283" s="71">
        <v>0</v>
      </c>
      <c r="G283" s="457"/>
      <c r="H283" s="132"/>
      <c r="I283" s="214"/>
      <c r="J283" s="146">
        <f t="shared" si="45"/>
        <v>0</v>
      </c>
      <c r="K283" s="147">
        <f t="shared" si="46"/>
        <v>0</v>
      </c>
      <c r="L283" s="148">
        <f t="shared" si="44"/>
        <v>0</v>
      </c>
      <c r="N283" s="142" t="s">
        <v>93</v>
      </c>
    </row>
    <row r="284" spans="2:15" ht="22.95" customHeight="1" thickTop="1" x14ac:dyDescent="0.3">
      <c r="B284" s="451"/>
      <c r="C284" s="459"/>
      <c r="D284" s="453" t="s">
        <v>9</v>
      </c>
      <c r="E284" s="454"/>
      <c r="F284" s="454"/>
      <c r="G284" s="460"/>
      <c r="H284" s="132"/>
      <c r="I284" s="214"/>
      <c r="J284" s="216"/>
      <c r="K284" s="216"/>
      <c r="L284" s="216"/>
      <c r="N284" s="142" t="s">
        <v>93</v>
      </c>
    </row>
    <row r="285" spans="2:15" ht="25.2" customHeight="1" thickBot="1" x14ac:dyDescent="0.35">
      <c r="B285" s="390" t="s">
        <v>423</v>
      </c>
      <c r="C285" s="391"/>
      <c r="D285" s="235" t="str">
        <f>'1.Úvodní parametry'!$D$10</f>
        <v>NE</v>
      </c>
      <c r="E285" s="391"/>
      <c r="F285" s="396"/>
      <c r="G285" s="392" t="s">
        <v>315</v>
      </c>
      <c r="H285" s="132"/>
      <c r="I285" s="214"/>
      <c r="J285" s="214"/>
      <c r="K285" s="214"/>
      <c r="N285" s="142" t="s">
        <v>93</v>
      </c>
    </row>
    <row r="286" spans="2:15" ht="15" thickTop="1" x14ac:dyDescent="0.3">
      <c r="B286" s="461"/>
      <c r="C286" s="462"/>
      <c r="D286" s="449"/>
      <c r="E286" s="463"/>
      <c r="F286" s="449"/>
      <c r="G286" s="449"/>
      <c r="H286" s="132"/>
      <c r="I286" s="214"/>
      <c r="J286" s="217" t="s">
        <v>424</v>
      </c>
      <c r="K286" s="217"/>
      <c r="L286" s="217"/>
    </row>
    <row r="287" spans="2:15" x14ac:dyDescent="0.3">
      <c r="B287" s="464" t="s">
        <v>425</v>
      </c>
      <c r="C287" s="465"/>
      <c r="D287" s="465"/>
      <c r="E287" s="465"/>
      <c r="F287" s="466"/>
      <c r="G287" s="467"/>
      <c r="H287" s="132"/>
      <c r="I287" s="214"/>
      <c r="J287" s="218" t="s">
        <v>3</v>
      </c>
      <c r="K287" s="219" t="s">
        <v>43</v>
      </c>
      <c r="L287" s="145" t="str">
        <f>'4. Kalkulace TCO a Porovnání'!$J$5</f>
        <v>v Kč včetně DPH</v>
      </c>
    </row>
    <row r="288" spans="2:15" x14ac:dyDescent="0.3">
      <c r="B288" s="468"/>
      <c r="C288" s="469" t="s">
        <v>426</v>
      </c>
      <c r="D288" s="469"/>
      <c r="E288" s="469"/>
      <c r="F288" s="470"/>
      <c r="G288" s="467"/>
      <c r="H288" s="132"/>
      <c r="I288" s="214"/>
      <c r="J288" s="146">
        <f>SUMIFS(J263:J272,$C263:$C272,"Kč/rok")</f>
        <v>0</v>
      </c>
      <c r="K288" s="147">
        <f>SUMIFS(K263:K272,$C263:$C272,"Kč/rok")</f>
        <v>0</v>
      </c>
      <c r="L288" s="148">
        <f t="shared" ref="L288" si="47">IF($L$261=$J$261,J288,K288)</f>
        <v>0</v>
      </c>
      <c r="O288" s="220">
        <f>F263*DelkaProjektu+L291</f>
        <v>0</v>
      </c>
    </row>
    <row r="289" spans="2:15" x14ac:dyDescent="0.3">
      <c r="B289" s="468" t="s">
        <v>427</v>
      </c>
      <c r="C289" s="224" t="s">
        <v>428</v>
      </c>
      <c r="D289" s="225" t="s">
        <v>429</v>
      </c>
      <c r="E289" s="225"/>
      <c r="F289" s="224" t="s">
        <v>430</v>
      </c>
      <c r="G289" s="467"/>
      <c r="H289" s="132"/>
      <c r="I289" s="214"/>
      <c r="J289" s="217" t="s">
        <v>431</v>
      </c>
      <c r="K289" s="217"/>
      <c r="L289" s="217"/>
    </row>
    <row r="290" spans="2:15" x14ac:dyDescent="0.3">
      <c r="B290" s="471" t="s">
        <v>249</v>
      </c>
      <c r="C290" s="226">
        <f>SUMIFS($F$6:$F$283,$N$6:$N$283,"provoz",$D$6:$D$283,"1")</f>
        <v>0</v>
      </c>
      <c r="D290" s="226">
        <f>SUMIFS($F$6:$F$283,$N$6:$N$283,"provoz",$D$6:$D$283,"2")</f>
        <v>0</v>
      </c>
      <c r="E290" s="227"/>
      <c r="F290" s="226">
        <f>SUMIFS($F$6:$F$283,$N$6:$N$283,"provoz",$D$6:$D$283,"3")</f>
        <v>0</v>
      </c>
      <c r="G290" s="467"/>
      <c r="H290" s="132"/>
      <c r="I290" s="214"/>
      <c r="J290" s="218" t="s">
        <v>3</v>
      </c>
      <c r="K290" s="219" t="s">
        <v>43</v>
      </c>
      <c r="L290" s="145" t="str">
        <f>'4. Kalkulace TCO a Porovnání'!$J$5</f>
        <v>v Kč včetně DPH</v>
      </c>
    </row>
    <row r="291" spans="2:15" x14ac:dyDescent="0.3">
      <c r="B291" s="471" t="s">
        <v>432</v>
      </c>
      <c r="C291" s="226">
        <f>SUMIFS($F$6:$F$283,$N$6:$N$283,"úpravy",$D$6:$D$283,"1")</f>
        <v>0</v>
      </c>
      <c r="D291" s="226">
        <f>SUMIFS($F$6:$F$283,$N$6:$N$283,"úpravy",$D$6:$D$283,"2")</f>
        <v>0</v>
      </c>
      <c r="E291" s="227"/>
      <c r="F291" s="226">
        <f>SUMIFS($F$6:$F$283,$N$6:$N$283,"úpravy",$D$6:$D$283,"3")</f>
        <v>0</v>
      </c>
      <c r="G291" s="467"/>
      <c r="H291" s="132"/>
      <c r="I291" s="214"/>
      <c r="J291" s="146">
        <f>SUMIFS(J263:J272,$C263:$C272,"Kč/jednorázově")</f>
        <v>0</v>
      </c>
      <c r="K291" s="147">
        <f>SUMIFS(K263:K272,$C263:$C272,"Kč/jednorázově")</f>
        <v>0</v>
      </c>
      <c r="L291" s="148">
        <f t="shared" ref="L291" si="48">IF($L$261=$J$261,J291,K291)</f>
        <v>0</v>
      </c>
    </row>
    <row r="292" spans="2:15" x14ac:dyDescent="0.3">
      <c r="B292" s="471" t="s">
        <v>433</v>
      </c>
      <c r="C292" s="226">
        <f>SUMIFS($F$6:$F$283,$N$6:$N$283,"provoz KB",$D$6:$D$283,"1")</f>
        <v>0</v>
      </c>
      <c r="D292" s="226">
        <f>SUMIFS($F$6:$F$283,$N$6:$N$283,"provoz KB",$D$6:$D$283,"2")</f>
        <v>0</v>
      </c>
      <c r="E292" s="227"/>
      <c r="F292" s="226">
        <f>SUMIFS($F$6:$F$283,$N$6:$N$283,"provoz KB",$D$6:$D$283,"3")</f>
        <v>0</v>
      </c>
      <c r="G292" s="467"/>
      <c r="H292" s="132"/>
      <c r="I292" s="214"/>
      <c r="J292" s="214"/>
      <c r="K292" s="214"/>
      <c r="L292" s="221">
        <f>IF(D285="ANO",L288,L288+L291/DelkaProjektu)</f>
        <v>0</v>
      </c>
      <c r="N292" s="222"/>
    </row>
    <row r="293" spans="2:15" x14ac:dyDescent="0.3">
      <c r="B293" s="471" t="s">
        <v>372</v>
      </c>
      <c r="C293" s="226">
        <f>SUMIFS($F$6:$F$283,$N$6:$N$283,"provoz zvýšené náklady",$D$6:$D$283,"1")</f>
        <v>0</v>
      </c>
      <c r="D293" s="226">
        <f>SUMIFS($F$6:$F$283,$N$6:$N$283,"provoz zvýšené náklady",$D$6:$D$283,"2")</f>
        <v>0</v>
      </c>
      <c r="E293" s="227"/>
      <c r="F293" s="226">
        <f>SUMIFS($F$6:$F$283,$N$6:$N$283,"provoz zvýšené náklady",$D$6:$D$283,"3")</f>
        <v>0</v>
      </c>
      <c r="G293" s="467"/>
      <c r="H293" s="132"/>
      <c r="I293" s="214"/>
      <c r="J293" s="214"/>
      <c r="K293" s="214"/>
      <c r="L293" s="221"/>
    </row>
    <row r="294" spans="2:15" x14ac:dyDescent="0.3">
      <c r="B294" s="468" t="s">
        <v>434</v>
      </c>
      <c r="C294" s="224">
        <f>SUM(C290:C293)</f>
        <v>0</v>
      </c>
      <c r="D294" s="224">
        <f>SUM(D290:D293)</f>
        <v>0</v>
      </c>
      <c r="E294" s="225"/>
      <c r="F294" s="224">
        <f>SUM(F290:F293)</f>
        <v>0</v>
      </c>
      <c r="G294" s="467"/>
      <c r="H294" s="132"/>
      <c r="I294" s="214"/>
      <c r="J294" s="217" t="s">
        <v>435</v>
      </c>
      <c r="K294" s="217"/>
      <c r="L294" s="217"/>
    </row>
    <row r="295" spans="2:15" x14ac:dyDescent="0.3">
      <c r="B295" s="472" t="s">
        <v>436</v>
      </c>
      <c r="C295" s="228">
        <f>C294/8</f>
        <v>0</v>
      </c>
      <c r="D295" s="228">
        <f t="shared" ref="D295:F295" si="49">D294/8</f>
        <v>0</v>
      </c>
      <c r="E295" s="228"/>
      <c r="F295" s="228">
        <f t="shared" si="49"/>
        <v>0</v>
      </c>
      <c r="G295" s="467"/>
      <c r="H295" s="132"/>
      <c r="I295" s="214"/>
      <c r="J295" s="218" t="s">
        <v>3</v>
      </c>
      <c r="K295" s="219" t="s">
        <v>43</v>
      </c>
      <c r="L295" s="145" t="str">
        <f>'4. Kalkulace TCO a Porovnání'!$J$5</f>
        <v>v Kč včetně DPH</v>
      </c>
    </row>
    <row r="296" spans="2:15" x14ac:dyDescent="0.3">
      <c r="B296" s="472" t="s">
        <v>437</v>
      </c>
      <c r="C296" s="228">
        <f>C295*DelkaProjektu</f>
        <v>0</v>
      </c>
      <c r="D296" s="228">
        <f>D295*DelkaProjektu</f>
        <v>0</v>
      </c>
      <c r="E296" s="228"/>
      <c r="F296" s="228">
        <f>F295*DelkaProjektu</f>
        <v>0</v>
      </c>
      <c r="G296" s="467"/>
      <c r="H296" s="132"/>
      <c r="I296" s="214"/>
      <c r="J296" s="146">
        <f>SUMIFS(J274:J283,$C274:$C283,"Kč/rok")</f>
        <v>0</v>
      </c>
      <c r="K296" s="147">
        <f>SUMIFS(K274:K283,$C274:$C283,"Kč/rok")</f>
        <v>0</v>
      </c>
      <c r="L296" s="148">
        <f t="shared" ref="L296" si="50">IF($L$261=$J$261,J296,K296)</f>
        <v>0</v>
      </c>
      <c r="O296" s="222">
        <f>L296*DelkaProjektu+L299</f>
        <v>0</v>
      </c>
    </row>
    <row r="297" spans="2:15" x14ac:dyDescent="0.3">
      <c r="B297" s="473"/>
      <c r="C297" s="229" t="s">
        <v>438</v>
      </c>
      <c r="D297" s="230"/>
      <c r="E297" s="230"/>
      <c r="F297" s="231"/>
      <c r="G297" s="467"/>
      <c r="H297" s="132"/>
      <c r="I297" s="214"/>
      <c r="J297" s="217" t="s">
        <v>439</v>
      </c>
      <c r="K297" s="217"/>
      <c r="L297" s="217"/>
    </row>
    <row r="298" spans="2:15" x14ac:dyDescent="0.3">
      <c r="B298" s="474" t="s">
        <v>440</v>
      </c>
      <c r="C298" s="232" t="s">
        <v>428</v>
      </c>
      <c r="D298" s="233" t="s">
        <v>429</v>
      </c>
      <c r="E298" s="233"/>
      <c r="F298" s="232" t="s">
        <v>430</v>
      </c>
      <c r="G298" s="467"/>
      <c r="H298" s="132"/>
      <c r="I298" s="214"/>
      <c r="J298" s="218" t="s">
        <v>3</v>
      </c>
      <c r="K298" s="219" t="s">
        <v>43</v>
      </c>
      <c r="L298" s="145" t="str">
        <f>'4. Kalkulace TCO a Porovnání'!$J$5</f>
        <v>v Kč včetně DPH</v>
      </c>
    </row>
    <row r="299" spans="2:15" x14ac:dyDescent="0.3">
      <c r="B299" s="471" t="s">
        <v>441</v>
      </c>
      <c r="C299" s="226">
        <f>SUMIFS($F$6:$F$283,$N$6:$N$283,"jednorázově",$D$6:$D$283,"1")</f>
        <v>0</v>
      </c>
      <c r="D299" s="226">
        <f>SUMIFS($F$6:$F$283,$N$6:$N$283,"jednorázově",$D$6:$D$283,"2")</f>
        <v>0</v>
      </c>
      <c r="E299" s="227"/>
      <c r="F299" s="226">
        <f>SUMIFS($F$6:$F$283,$N$6:$N$283,"jednorázově",$D$6:$D$283,"3")</f>
        <v>0</v>
      </c>
      <c r="G299" s="467"/>
      <c r="H299" s="132"/>
      <c r="I299" s="214"/>
      <c r="J299" s="146">
        <f>SUMIFS(J274:J283,$C274:$C283,"Kč/jednorázově")</f>
        <v>0</v>
      </c>
      <c r="K299" s="147">
        <f>SUMIFS(K274:K283,$C274:$C283,"Kč/jednorázově")</f>
        <v>0</v>
      </c>
      <c r="L299" s="148">
        <f t="shared" ref="L299" si="51">IF($L$261=$J$261,J299,K299)</f>
        <v>0</v>
      </c>
    </row>
    <row r="300" spans="2:15" x14ac:dyDescent="0.3">
      <c r="B300" s="471" t="s">
        <v>442</v>
      </c>
      <c r="C300" s="226">
        <f>SUMIFS($F$6:$F$283,$N$6:$N$283,"ukončení",$D$6:$D$283,"1")</f>
        <v>0</v>
      </c>
      <c r="D300" s="226">
        <f>SUMIFS($F$6:$F$283,$N$6:$N$283,"ukončení",$D$6:$D$283,"2")</f>
        <v>0</v>
      </c>
      <c r="E300" s="227"/>
      <c r="F300" s="226">
        <f>SUMIFS($F$6:$F$283,$N$6:$N$283,"ukončení",$D$6:$D$283,"3")</f>
        <v>0</v>
      </c>
      <c r="G300" s="467"/>
      <c r="H300" s="132"/>
      <c r="I300" s="214"/>
      <c r="J300" s="146"/>
      <c r="K300" s="147"/>
      <c r="L300" s="148"/>
    </row>
    <row r="301" spans="2:15" x14ac:dyDescent="0.3">
      <c r="B301" s="474" t="s">
        <v>434</v>
      </c>
      <c r="C301" s="232">
        <f>SUM(C299:C300)</f>
        <v>0</v>
      </c>
      <c r="D301" s="232">
        <f>SUM(D299:D300)</f>
        <v>0</v>
      </c>
      <c r="E301" s="233"/>
      <c r="F301" s="232">
        <f>SUM(F299:F300)</f>
        <v>0</v>
      </c>
      <c r="G301" s="257"/>
      <c r="H301" s="132"/>
      <c r="L301" s="221">
        <f>IF(D285="ANO",L296,L296+L299/DelkaProjektu)</f>
        <v>0</v>
      </c>
      <c r="N301" s="222"/>
    </row>
    <row r="302" spans="2:15" x14ac:dyDescent="0.3">
      <c r="B302" s="475" t="s">
        <v>436</v>
      </c>
      <c r="C302" s="234">
        <f>C301/8</f>
        <v>0</v>
      </c>
      <c r="D302" s="234">
        <f t="shared" ref="D302" si="52">D301/8</f>
        <v>0</v>
      </c>
      <c r="E302" s="234"/>
      <c r="F302" s="234">
        <f t="shared" ref="F302" si="53">F301/8</f>
        <v>0</v>
      </c>
      <c r="G302" s="257"/>
      <c r="H302" s="132"/>
    </row>
    <row r="303" spans="2:15" x14ac:dyDescent="0.3">
      <c r="B303" s="423"/>
      <c r="C303" s="423"/>
      <c r="D303" s="423"/>
      <c r="E303" s="423"/>
      <c r="F303" s="423"/>
      <c r="G303" s="257"/>
      <c r="H303" s="132"/>
    </row>
    <row r="304" spans="2:15" x14ac:dyDescent="0.3">
      <c r="B304" s="476"/>
      <c r="C304" s="477"/>
      <c r="D304" s="477"/>
      <c r="E304" s="477"/>
      <c r="F304" s="477"/>
      <c r="G304" s="257"/>
      <c r="H304" s="132"/>
    </row>
    <row r="309" spans="2:12" x14ac:dyDescent="0.3">
      <c r="B309" s="256"/>
      <c r="C309" s="256"/>
      <c r="D309" s="256"/>
      <c r="E309" s="256"/>
      <c r="F309" s="256"/>
      <c r="G309" s="257"/>
      <c r="H309" s="132"/>
      <c r="L309" s="142"/>
    </row>
    <row r="321" spans="7:7" x14ac:dyDescent="0.3">
      <c r="G321" s="257" t="s">
        <v>443</v>
      </c>
    </row>
    <row r="324" spans="7:7" x14ac:dyDescent="0.3">
      <c r="G324" s="257" t="s">
        <v>443</v>
      </c>
    </row>
    <row r="327" spans="7:7" ht="6.75" customHeight="1" x14ac:dyDescent="0.3">
      <c r="G327" s="257"/>
    </row>
  </sheetData>
  <sheetProtection algorithmName="SHA-512" hashValue="75vGVjt7C/z2vHPO6PhPdyIoGo50HPtCQplK4ZGahoNax7Rz0b2VkGY2u1z1OgUuYMU4Rd8k8MsJ8d/nM6WpnA==" saltValue="NaDGcaJWl6XkXFW3L3zrfg==" spinCount="100000" sheet="1" objects="1" scenarios="1"/>
  <mergeCells count="8">
    <mergeCell ref="J286:L286"/>
    <mergeCell ref="J289:L289"/>
    <mergeCell ref="J294:L294"/>
    <mergeCell ref="J297:L297"/>
    <mergeCell ref="D78:D81"/>
    <mergeCell ref="C288:F288"/>
    <mergeCell ref="C297:F297"/>
    <mergeCell ref="D86:D90"/>
  </mergeCells>
  <phoneticPr fontId="53" type="noConversion"/>
  <dataValidations count="3">
    <dataValidation type="list" allowBlank="1" showInputMessage="1" showErrorMessage="1" sqref="WVH983212:WVI983212 IV65708:IW65708 SR65708:SS65708 ACN65708:ACO65708 AMJ65708:AMK65708 AWF65708:AWG65708 BGB65708:BGC65708 BPX65708:BPY65708 BZT65708:BZU65708 CJP65708:CJQ65708 CTL65708:CTM65708 DDH65708:DDI65708 DND65708:DNE65708 DWZ65708:DXA65708 EGV65708:EGW65708 EQR65708:EQS65708 FAN65708:FAO65708 FKJ65708:FKK65708 FUF65708:FUG65708 GEB65708:GEC65708 GNX65708:GNY65708 GXT65708:GXU65708 HHP65708:HHQ65708 HRL65708:HRM65708 IBH65708:IBI65708 ILD65708:ILE65708 IUZ65708:IVA65708 JEV65708:JEW65708 JOR65708:JOS65708 JYN65708:JYO65708 KIJ65708:KIK65708 KSF65708:KSG65708 LCB65708:LCC65708 LLX65708:LLY65708 LVT65708:LVU65708 MFP65708:MFQ65708 MPL65708:MPM65708 MZH65708:MZI65708 NJD65708:NJE65708 NSZ65708:NTA65708 OCV65708:OCW65708 OMR65708:OMS65708 OWN65708:OWO65708 PGJ65708:PGK65708 PQF65708:PQG65708 QAB65708:QAC65708 QJX65708:QJY65708 QTT65708:QTU65708 RDP65708:RDQ65708 RNL65708:RNM65708 RXH65708:RXI65708 SHD65708:SHE65708 SQZ65708:SRA65708 TAV65708:TAW65708 TKR65708:TKS65708 TUN65708:TUO65708 UEJ65708:UEK65708 UOF65708:UOG65708 UYB65708:UYC65708 VHX65708:VHY65708 VRT65708:VRU65708 WBP65708:WBQ65708 WLL65708:WLM65708 WVH65708:WVI65708 IV131244:IW131244 SR131244:SS131244 ACN131244:ACO131244 AMJ131244:AMK131244 AWF131244:AWG131244 BGB131244:BGC131244 BPX131244:BPY131244 BZT131244:BZU131244 CJP131244:CJQ131244 CTL131244:CTM131244 DDH131244:DDI131244 DND131244:DNE131244 DWZ131244:DXA131244 EGV131244:EGW131244 EQR131244:EQS131244 FAN131244:FAO131244 FKJ131244:FKK131244 FUF131244:FUG131244 GEB131244:GEC131244 GNX131244:GNY131244 GXT131244:GXU131244 HHP131244:HHQ131244 HRL131244:HRM131244 IBH131244:IBI131244 ILD131244:ILE131244 IUZ131244:IVA131244 JEV131244:JEW131244 JOR131244:JOS131244 JYN131244:JYO131244 KIJ131244:KIK131244 KSF131244:KSG131244 LCB131244:LCC131244 LLX131244:LLY131244 LVT131244:LVU131244 MFP131244:MFQ131244 MPL131244:MPM131244 MZH131244:MZI131244 NJD131244:NJE131244 NSZ131244:NTA131244 OCV131244:OCW131244 OMR131244:OMS131244 OWN131244:OWO131244 PGJ131244:PGK131244 PQF131244:PQG131244 QAB131244:QAC131244 QJX131244:QJY131244 QTT131244:QTU131244 RDP131244:RDQ131244 RNL131244:RNM131244 RXH131244:RXI131244 SHD131244:SHE131244 SQZ131244:SRA131244 TAV131244:TAW131244 TKR131244:TKS131244 TUN131244:TUO131244 UEJ131244:UEK131244 UOF131244:UOG131244 UYB131244:UYC131244 VHX131244:VHY131244 VRT131244:VRU131244 WBP131244:WBQ131244 WLL131244:WLM131244 WVH131244:WVI131244 IV196780:IW196780 SR196780:SS196780 ACN196780:ACO196780 AMJ196780:AMK196780 AWF196780:AWG196780 BGB196780:BGC196780 BPX196780:BPY196780 BZT196780:BZU196780 CJP196780:CJQ196780 CTL196780:CTM196780 DDH196780:DDI196780 DND196780:DNE196780 DWZ196780:DXA196780 EGV196780:EGW196780 EQR196780:EQS196780 FAN196780:FAO196780 FKJ196780:FKK196780 FUF196780:FUG196780 GEB196780:GEC196780 GNX196780:GNY196780 GXT196780:GXU196780 HHP196780:HHQ196780 HRL196780:HRM196780 IBH196780:IBI196780 ILD196780:ILE196780 IUZ196780:IVA196780 JEV196780:JEW196780 JOR196780:JOS196780 JYN196780:JYO196780 KIJ196780:KIK196780 KSF196780:KSG196780 LCB196780:LCC196780 LLX196780:LLY196780 LVT196780:LVU196780 MFP196780:MFQ196780 MPL196780:MPM196780 MZH196780:MZI196780 NJD196780:NJE196780 NSZ196780:NTA196780 OCV196780:OCW196780 OMR196780:OMS196780 OWN196780:OWO196780 PGJ196780:PGK196780 PQF196780:PQG196780 QAB196780:QAC196780 QJX196780:QJY196780 QTT196780:QTU196780 RDP196780:RDQ196780 RNL196780:RNM196780 RXH196780:RXI196780 SHD196780:SHE196780 SQZ196780:SRA196780 TAV196780:TAW196780 TKR196780:TKS196780 TUN196780:TUO196780 UEJ196780:UEK196780 UOF196780:UOG196780 UYB196780:UYC196780 VHX196780:VHY196780 VRT196780:VRU196780 WBP196780:WBQ196780 WLL196780:WLM196780 WVH196780:WVI196780 IV262316:IW262316 SR262316:SS262316 ACN262316:ACO262316 AMJ262316:AMK262316 AWF262316:AWG262316 BGB262316:BGC262316 BPX262316:BPY262316 BZT262316:BZU262316 CJP262316:CJQ262316 CTL262316:CTM262316 DDH262316:DDI262316 DND262316:DNE262316 DWZ262316:DXA262316 EGV262316:EGW262316 EQR262316:EQS262316 FAN262316:FAO262316 FKJ262316:FKK262316 FUF262316:FUG262316 GEB262316:GEC262316 GNX262316:GNY262316 GXT262316:GXU262316 HHP262316:HHQ262316 HRL262316:HRM262316 IBH262316:IBI262316 ILD262316:ILE262316 IUZ262316:IVA262316 JEV262316:JEW262316 JOR262316:JOS262316 JYN262316:JYO262316 KIJ262316:KIK262316 KSF262316:KSG262316 LCB262316:LCC262316 LLX262316:LLY262316 LVT262316:LVU262316 MFP262316:MFQ262316 MPL262316:MPM262316 MZH262316:MZI262316 NJD262316:NJE262316 NSZ262316:NTA262316 OCV262316:OCW262316 OMR262316:OMS262316 OWN262316:OWO262316 PGJ262316:PGK262316 PQF262316:PQG262316 QAB262316:QAC262316 QJX262316:QJY262316 QTT262316:QTU262316 RDP262316:RDQ262316 RNL262316:RNM262316 RXH262316:RXI262316 SHD262316:SHE262316 SQZ262316:SRA262316 TAV262316:TAW262316 TKR262316:TKS262316 TUN262316:TUO262316 UEJ262316:UEK262316 UOF262316:UOG262316 UYB262316:UYC262316 VHX262316:VHY262316 VRT262316:VRU262316 WBP262316:WBQ262316 WLL262316:WLM262316 WVH262316:WVI262316 IV327852:IW327852 SR327852:SS327852 ACN327852:ACO327852 AMJ327852:AMK327852 AWF327852:AWG327852 BGB327852:BGC327852 BPX327852:BPY327852 BZT327852:BZU327852 CJP327852:CJQ327852 CTL327852:CTM327852 DDH327852:DDI327852 DND327852:DNE327852 DWZ327852:DXA327852 EGV327852:EGW327852 EQR327852:EQS327852 FAN327852:FAO327852 FKJ327852:FKK327852 FUF327852:FUG327852 GEB327852:GEC327852 GNX327852:GNY327852 GXT327852:GXU327852 HHP327852:HHQ327852 HRL327852:HRM327852 IBH327852:IBI327852 ILD327852:ILE327852 IUZ327852:IVA327852 JEV327852:JEW327852 JOR327852:JOS327852 JYN327852:JYO327852 KIJ327852:KIK327852 KSF327852:KSG327852 LCB327852:LCC327852 LLX327852:LLY327852 LVT327852:LVU327852 MFP327852:MFQ327852 MPL327852:MPM327852 MZH327852:MZI327852 NJD327852:NJE327852 NSZ327852:NTA327852 OCV327852:OCW327852 OMR327852:OMS327852 OWN327852:OWO327852 PGJ327852:PGK327852 PQF327852:PQG327852 QAB327852:QAC327852 QJX327852:QJY327852 QTT327852:QTU327852 RDP327852:RDQ327852 RNL327852:RNM327852 RXH327852:RXI327852 SHD327852:SHE327852 SQZ327852:SRA327852 TAV327852:TAW327852 TKR327852:TKS327852 TUN327852:TUO327852 UEJ327852:UEK327852 UOF327852:UOG327852 UYB327852:UYC327852 VHX327852:VHY327852 VRT327852:VRU327852 WBP327852:WBQ327852 WLL327852:WLM327852 WVH327852:WVI327852 IV393388:IW393388 SR393388:SS393388 ACN393388:ACO393388 AMJ393388:AMK393388 AWF393388:AWG393388 BGB393388:BGC393388 BPX393388:BPY393388 BZT393388:BZU393388 CJP393388:CJQ393388 CTL393388:CTM393388 DDH393388:DDI393388 DND393388:DNE393388 DWZ393388:DXA393388 EGV393388:EGW393388 EQR393388:EQS393388 FAN393388:FAO393388 FKJ393388:FKK393388 FUF393388:FUG393388 GEB393388:GEC393388 GNX393388:GNY393388 GXT393388:GXU393388 HHP393388:HHQ393388 HRL393388:HRM393388 IBH393388:IBI393388 ILD393388:ILE393388 IUZ393388:IVA393388 JEV393388:JEW393388 JOR393388:JOS393388 JYN393388:JYO393388 KIJ393388:KIK393388 KSF393388:KSG393388 LCB393388:LCC393388 LLX393388:LLY393388 LVT393388:LVU393388 MFP393388:MFQ393388 MPL393388:MPM393388 MZH393388:MZI393388 NJD393388:NJE393388 NSZ393388:NTA393388 OCV393388:OCW393388 OMR393388:OMS393388 OWN393388:OWO393388 PGJ393388:PGK393388 PQF393388:PQG393388 QAB393388:QAC393388 QJX393388:QJY393388 QTT393388:QTU393388 RDP393388:RDQ393388 RNL393388:RNM393388 RXH393388:RXI393388 SHD393388:SHE393388 SQZ393388:SRA393388 TAV393388:TAW393388 TKR393388:TKS393388 TUN393388:TUO393388 UEJ393388:UEK393388 UOF393388:UOG393388 UYB393388:UYC393388 VHX393388:VHY393388 VRT393388:VRU393388 WBP393388:WBQ393388 WLL393388:WLM393388 WVH393388:WVI393388 IV458924:IW458924 SR458924:SS458924 ACN458924:ACO458924 AMJ458924:AMK458924 AWF458924:AWG458924 BGB458924:BGC458924 BPX458924:BPY458924 BZT458924:BZU458924 CJP458924:CJQ458924 CTL458924:CTM458924 DDH458924:DDI458924 DND458924:DNE458924 DWZ458924:DXA458924 EGV458924:EGW458924 EQR458924:EQS458924 FAN458924:FAO458924 FKJ458924:FKK458924 FUF458924:FUG458924 GEB458924:GEC458924 GNX458924:GNY458924 GXT458924:GXU458924 HHP458924:HHQ458924 HRL458924:HRM458924 IBH458924:IBI458924 ILD458924:ILE458924 IUZ458924:IVA458924 JEV458924:JEW458924 JOR458924:JOS458924 JYN458924:JYO458924 KIJ458924:KIK458924 KSF458924:KSG458924 LCB458924:LCC458924 LLX458924:LLY458924 LVT458924:LVU458924 MFP458924:MFQ458924 MPL458924:MPM458924 MZH458924:MZI458924 NJD458924:NJE458924 NSZ458924:NTA458924 OCV458924:OCW458924 OMR458924:OMS458924 OWN458924:OWO458924 PGJ458924:PGK458924 PQF458924:PQG458924 QAB458924:QAC458924 QJX458924:QJY458924 QTT458924:QTU458924 RDP458924:RDQ458924 RNL458924:RNM458924 RXH458924:RXI458924 SHD458924:SHE458924 SQZ458924:SRA458924 TAV458924:TAW458924 TKR458924:TKS458924 TUN458924:TUO458924 UEJ458924:UEK458924 UOF458924:UOG458924 UYB458924:UYC458924 VHX458924:VHY458924 VRT458924:VRU458924 WBP458924:WBQ458924 WLL458924:WLM458924 WVH458924:WVI458924 IV524460:IW524460 SR524460:SS524460 ACN524460:ACO524460 AMJ524460:AMK524460 AWF524460:AWG524460 BGB524460:BGC524460 BPX524460:BPY524460 BZT524460:BZU524460 CJP524460:CJQ524460 CTL524460:CTM524460 DDH524460:DDI524460 DND524460:DNE524460 DWZ524460:DXA524460 EGV524460:EGW524460 EQR524460:EQS524460 FAN524460:FAO524460 FKJ524460:FKK524460 FUF524460:FUG524460 GEB524460:GEC524460 GNX524460:GNY524460 GXT524460:GXU524460 HHP524460:HHQ524460 HRL524460:HRM524460 IBH524460:IBI524460 ILD524460:ILE524460 IUZ524460:IVA524460 JEV524460:JEW524460 JOR524460:JOS524460 JYN524460:JYO524460 KIJ524460:KIK524460 KSF524460:KSG524460 LCB524460:LCC524460 LLX524460:LLY524460 LVT524460:LVU524460 MFP524460:MFQ524460 MPL524460:MPM524460 MZH524460:MZI524460 NJD524460:NJE524460 NSZ524460:NTA524460 OCV524460:OCW524460 OMR524460:OMS524460 OWN524460:OWO524460 PGJ524460:PGK524460 PQF524460:PQG524460 QAB524460:QAC524460 QJX524460:QJY524460 QTT524460:QTU524460 RDP524460:RDQ524460 RNL524460:RNM524460 RXH524460:RXI524460 SHD524460:SHE524460 SQZ524460:SRA524460 TAV524460:TAW524460 TKR524460:TKS524460 TUN524460:TUO524460 UEJ524460:UEK524460 UOF524460:UOG524460 UYB524460:UYC524460 VHX524460:VHY524460 VRT524460:VRU524460 WBP524460:WBQ524460 WLL524460:WLM524460 WVH524460:WVI524460 IV589996:IW589996 SR589996:SS589996 ACN589996:ACO589996 AMJ589996:AMK589996 AWF589996:AWG589996 BGB589996:BGC589996 BPX589996:BPY589996 BZT589996:BZU589996 CJP589996:CJQ589996 CTL589996:CTM589996 DDH589996:DDI589996 DND589996:DNE589996 DWZ589996:DXA589996 EGV589996:EGW589996 EQR589996:EQS589996 FAN589996:FAO589996 FKJ589996:FKK589996 FUF589996:FUG589996 GEB589996:GEC589996 GNX589996:GNY589996 GXT589996:GXU589996 HHP589996:HHQ589996 HRL589996:HRM589996 IBH589996:IBI589996 ILD589996:ILE589996 IUZ589996:IVA589996 JEV589996:JEW589996 JOR589996:JOS589996 JYN589996:JYO589996 KIJ589996:KIK589996 KSF589996:KSG589996 LCB589996:LCC589996 LLX589996:LLY589996 LVT589996:LVU589996 MFP589996:MFQ589996 MPL589996:MPM589996 MZH589996:MZI589996 NJD589996:NJE589996 NSZ589996:NTA589996 OCV589996:OCW589996 OMR589996:OMS589996 OWN589996:OWO589996 PGJ589996:PGK589996 PQF589996:PQG589996 QAB589996:QAC589996 QJX589996:QJY589996 QTT589996:QTU589996 RDP589996:RDQ589996 RNL589996:RNM589996 RXH589996:RXI589996 SHD589996:SHE589996 SQZ589996:SRA589996 TAV589996:TAW589996 TKR589996:TKS589996 TUN589996:TUO589996 UEJ589996:UEK589996 UOF589996:UOG589996 UYB589996:UYC589996 VHX589996:VHY589996 VRT589996:VRU589996 WBP589996:WBQ589996 WLL589996:WLM589996 WVH589996:WVI589996 IV655532:IW655532 SR655532:SS655532 ACN655532:ACO655532 AMJ655532:AMK655532 AWF655532:AWG655532 BGB655532:BGC655532 BPX655532:BPY655532 BZT655532:BZU655532 CJP655532:CJQ655532 CTL655532:CTM655532 DDH655532:DDI655532 DND655532:DNE655532 DWZ655532:DXA655532 EGV655532:EGW655532 EQR655532:EQS655532 FAN655532:FAO655532 FKJ655532:FKK655532 FUF655532:FUG655532 GEB655532:GEC655532 GNX655532:GNY655532 GXT655532:GXU655532 HHP655532:HHQ655532 HRL655532:HRM655532 IBH655532:IBI655532 ILD655532:ILE655532 IUZ655532:IVA655532 JEV655532:JEW655532 JOR655532:JOS655532 JYN655532:JYO655532 KIJ655532:KIK655532 KSF655532:KSG655532 LCB655532:LCC655532 LLX655532:LLY655532 LVT655532:LVU655532 MFP655532:MFQ655532 MPL655532:MPM655532 MZH655532:MZI655532 NJD655532:NJE655532 NSZ655532:NTA655532 OCV655532:OCW655532 OMR655532:OMS655532 OWN655532:OWO655532 PGJ655532:PGK655532 PQF655532:PQG655532 QAB655532:QAC655532 QJX655532:QJY655532 QTT655532:QTU655532 RDP655532:RDQ655532 RNL655532:RNM655532 RXH655532:RXI655532 SHD655532:SHE655532 SQZ655532:SRA655532 TAV655532:TAW655532 TKR655532:TKS655532 TUN655532:TUO655532 UEJ655532:UEK655532 UOF655532:UOG655532 UYB655532:UYC655532 VHX655532:VHY655532 VRT655532:VRU655532 WBP655532:WBQ655532 WLL655532:WLM655532 WVH655532:WVI655532 IV721068:IW721068 SR721068:SS721068 ACN721068:ACO721068 AMJ721068:AMK721068 AWF721068:AWG721068 BGB721068:BGC721068 BPX721068:BPY721068 BZT721068:BZU721068 CJP721068:CJQ721068 CTL721068:CTM721068 DDH721068:DDI721068 DND721068:DNE721068 DWZ721068:DXA721068 EGV721068:EGW721068 EQR721068:EQS721068 FAN721068:FAO721068 FKJ721068:FKK721068 FUF721068:FUG721068 GEB721068:GEC721068 GNX721068:GNY721068 GXT721068:GXU721068 HHP721068:HHQ721068 HRL721068:HRM721068 IBH721068:IBI721068 ILD721068:ILE721068 IUZ721068:IVA721068 JEV721068:JEW721068 JOR721068:JOS721068 JYN721068:JYO721068 KIJ721068:KIK721068 KSF721068:KSG721068 LCB721068:LCC721068 LLX721068:LLY721068 LVT721068:LVU721068 MFP721068:MFQ721068 MPL721068:MPM721068 MZH721068:MZI721068 NJD721068:NJE721068 NSZ721068:NTA721068 OCV721068:OCW721068 OMR721068:OMS721068 OWN721068:OWO721068 PGJ721068:PGK721068 PQF721068:PQG721068 QAB721068:QAC721068 QJX721068:QJY721068 QTT721068:QTU721068 RDP721068:RDQ721068 RNL721068:RNM721068 RXH721068:RXI721068 SHD721068:SHE721068 SQZ721068:SRA721068 TAV721068:TAW721068 TKR721068:TKS721068 TUN721068:TUO721068 UEJ721068:UEK721068 UOF721068:UOG721068 UYB721068:UYC721068 VHX721068:VHY721068 VRT721068:VRU721068 WBP721068:WBQ721068 WLL721068:WLM721068 WVH721068:WVI721068 IV786604:IW786604 SR786604:SS786604 ACN786604:ACO786604 AMJ786604:AMK786604 AWF786604:AWG786604 BGB786604:BGC786604 BPX786604:BPY786604 BZT786604:BZU786604 CJP786604:CJQ786604 CTL786604:CTM786604 DDH786604:DDI786604 DND786604:DNE786604 DWZ786604:DXA786604 EGV786604:EGW786604 EQR786604:EQS786604 FAN786604:FAO786604 FKJ786604:FKK786604 FUF786604:FUG786604 GEB786604:GEC786604 GNX786604:GNY786604 GXT786604:GXU786604 HHP786604:HHQ786604 HRL786604:HRM786604 IBH786604:IBI786604 ILD786604:ILE786604 IUZ786604:IVA786604 JEV786604:JEW786604 JOR786604:JOS786604 JYN786604:JYO786604 KIJ786604:KIK786604 KSF786604:KSG786604 LCB786604:LCC786604 LLX786604:LLY786604 LVT786604:LVU786604 MFP786604:MFQ786604 MPL786604:MPM786604 MZH786604:MZI786604 NJD786604:NJE786604 NSZ786604:NTA786604 OCV786604:OCW786604 OMR786604:OMS786604 OWN786604:OWO786604 PGJ786604:PGK786604 PQF786604:PQG786604 QAB786604:QAC786604 QJX786604:QJY786604 QTT786604:QTU786604 RDP786604:RDQ786604 RNL786604:RNM786604 RXH786604:RXI786604 SHD786604:SHE786604 SQZ786604:SRA786604 TAV786604:TAW786604 TKR786604:TKS786604 TUN786604:TUO786604 UEJ786604:UEK786604 UOF786604:UOG786604 UYB786604:UYC786604 VHX786604:VHY786604 VRT786604:VRU786604 WBP786604:WBQ786604 WLL786604:WLM786604 WVH786604:WVI786604 IV852140:IW852140 SR852140:SS852140 ACN852140:ACO852140 AMJ852140:AMK852140 AWF852140:AWG852140 BGB852140:BGC852140 BPX852140:BPY852140 BZT852140:BZU852140 CJP852140:CJQ852140 CTL852140:CTM852140 DDH852140:DDI852140 DND852140:DNE852140 DWZ852140:DXA852140 EGV852140:EGW852140 EQR852140:EQS852140 FAN852140:FAO852140 FKJ852140:FKK852140 FUF852140:FUG852140 GEB852140:GEC852140 GNX852140:GNY852140 GXT852140:GXU852140 HHP852140:HHQ852140 HRL852140:HRM852140 IBH852140:IBI852140 ILD852140:ILE852140 IUZ852140:IVA852140 JEV852140:JEW852140 JOR852140:JOS852140 JYN852140:JYO852140 KIJ852140:KIK852140 KSF852140:KSG852140 LCB852140:LCC852140 LLX852140:LLY852140 LVT852140:LVU852140 MFP852140:MFQ852140 MPL852140:MPM852140 MZH852140:MZI852140 NJD852140:NJE852140 NSZ852140:NTA852140 OCV852140:OCW852140 OMR852140:OMS852140 OWN852140:OWO852140 PGJ852140:PGK852140 PQF852140:PQG852140 QAB852140:QAC852140 QJX852140:QJY852140 QTT852140:QTU852140 RDP852140:RDQ852140 RNL852140:RNM852140 RXH852140:RXI852140 SHD852140:SHE852140 SQZ852140:SRA852140 TAV852140:TAW852140 TKR852140:TKS852140 TUN852140:TUO852140 UEJ852140:UEK852140 UOF852140:UOG852140 UYB852140:UYC852140 VHX852140:VHY852140 VRT852140:VRU852140 WBP852140:WBQ852140 WLL852140:WLM852140 WVH852140:WVI852140 IV917676:IW917676 SR917676:SS917676 ACN917676:ACO917676 AMJ917676:AMK917676 AWF917676:AWG917676 BGB917676:BGC917676 BPX917676:BPY917676 BZT917676:BZU917676 CJP917676:CJQ917676 CTL917676:CTM917676 DDH917676:DDI917676 DND917676:DNE917676 DWZ917676:DXA917676 EGV917676:EGW917676 EQR917676:EQS917676 FAN917676:FAO917676 FKJ917676:FKK917676 FUF917676:FUG917676 GEB917676:GEC917676 GNX917676:GNY917676 GXT917676:GXU917676 HHP917676:HHQ917676 HRL917676:HRM917676 IBH917676:IBI917676 ILD917676:ILE917676 IUZ917676:IVA917676 JEV917676:JEW917676 JOR917676:JOS917676 JYN917676:JYO917676 KIJ917676:KIK917676 KSF917676:KSG917676 LCB917676:LCC917676 LLX917676:LLY917676 LVT917676:LVU917676 MFP917676:MFQ917676 MPL917676:MPM917676 MZH917676:MZI917676 NJD917676:NJE917676 NSZ917676:NTA917676 OCV917676:OCW917676 OMR917676:OMS917676 OWN917676:OWO917676 PGJ917676:PGK917676 PQF917676:PQG917676 QAB917676:QAC917676 QJX917676:QJY917676 QTT917676:QTU917676 RDP917676:RDQ917676 RNL917676:RNM917676 RXH917676:RXI917676 SHD917676:SHE917676 SQZ917676:SRA917676 TAV917676:TAW917676 TKR917676:TKS917676 TUN917676:TUO917676 UEJ917676:UEK917676 UOF917676:UOG917676 UYB917676:UYC917676 VHX917676:VHY917676 VRT917676:VRU917676 WBP917676:WBQ917676 WLL917676:WLM917676 WVH917676:WVI917676 IV983212:IW983212 SR983212:SS983212 ACN983212:ACO983212 AMJ983212:AMK983212 AWF983212:AWG983212 BGB983212:BGC983212 BPX983212:BPY983212 BZT983212:BZU983212 CJP983212:CJQ983212 CTL983212:CTM983212 DDH983212:DDI983212 DND983212:DNE983212 DWZ983212:DXA983212 EGV983212:EGW983212 EQR983212:EQS983212 FAN983212:FAO983212 FKJ983212:FKK983212 FUF983212:FUG983212 GEB983212:GEC983212 GNX983212:GNY983212 GXT983212:GXU983212 HHP983212:HHQ983212 HRL983212:HRM983212 IBH983212:IBI983212 ILD983212:ILE983212 IUZ983212:IVA983212 JEV983212:JEW983212 JOR983212:JOS983212 JYN983212:JYO983212 KIJ983212:KIK983212 KSF983212:KSG983212 LCB983212:LCC983212 LLX983212:LLY983212 LVT983212:LVU983212 MFP983212:MFQ983212 MPL983212:MPM983212 MZH983212:MZI983212 NJD983212:NJE983212 NSZ983212:NTA983212 OCV983212:OCW983212 OMR983212:OMS983212 OWN983212:OWO983212 PGJ983212:PGK983212 PQF983212:PQG983212 QAB983212:QAC983212 QJX983212:QJY983212 QTT983212:QTU983212 RDP983212:RDQ983212 RNL983212:RNM983212 RXH983212:RXI983212 SHD983212:SHE983212 SQZ983212:SRA983212 TAV983212:TAW983212 TKR983212:TKS983212 TUN983212:TUO983212 UEJ983212:UEK983212 UOF983212:UOG983212 UYB983212:UYC983212 VHX983212:VHY983212 VRT983212:VRU983212 WBP983212:WBQ983212 WLL983212:WLM983212" xr:uid="{00000000-0002-0000-0200-000000000000}">
      <formula1>YesNo</formula1>
    </dataValidation>
    <dataValidation type="list" allowBlank="1" showInputMessage="1" showErrorMessage="1" sqref="D228 D233 D249 D230 D226 D224 D111 D236 D214 D240:D242 D247 D252:D253 D218 D216 D245 D238 D212 D221" xr:uid="{00000000-0002-0000-0200-000002000000}">
      <formula1>AnoNe</formula1>
    </dataValidation>
    <dataValidation type="list" allowBlank="1" showInputMessage="1" showErrorMessage="1" sqref="D125:D127 D248 D167 D169 D43 D237 D211 D213 D215 D217 D223 D225 D227 D229 D235 D239 D244 D246 D155:D157 D51 D34 D60 D95 D133:D146 D148 D182 D176 D178 D180 D184 D186 D188 D190 D192 D194 D196 D198 D200 D202 D204" xr:uid="{00000000-0002-0000-0200-000003000000}">
      <formula1>Typrole</formula1>
    </dataValidation>
  </dataValidations>
  <printOptions horizontalCentered="1"/>
  <pageMargins left="0" right="0" top="0.55118110236220474" bottom="0.35433070866141736" header="0" footer="0.15748031496062992"/>
  <pageSetup paperSize="9" scale="60" fitToHeight="2" orientation="portrait" r:id="rId1"/>
  <headerFooter>
    <oddFooter>&amp;L&amp;"Calibri,Obyčejné"&amp;9ON premise řešení - vstupy&amp;C&amp;"Calibri,Obyčejné"&amp;9&amp;P/&amp;N</oddFooter>
  </headerFooter>
  <rowBreaks count="1" manualBreakCount="1">
    <brk id="162" max="7" man="1"/>
  </row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B19ACFF-663A-429F-9271-95EEBB29F341}">
          <x14:formula1>
            <xm:f>'tabulky-schovat'!$A$18:$A$19</xm:f>
          </x14:formula1>
          <xm:sqref>C263:C272 C274:C284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published="0" codeName="Sheet4">
    <tabColor rgb="FF66FFFF"/>
    <pageSetUpPr fitToPage="1"/>
  </sheetPr>
  <dimension ref="A1:P281"/>
  <sheetViews>
    <sheetView topLeftCell="A163" zoomScaleNormal="100" workbookViewId="0">
      <selection activeCell="L198" sqref="L198"/>
    </sheetView>
  </sheetViews>
  <sheetFormatPr defaultColWidth="7.59765625" defaultRowHeight="14.4" outlineLevelCol="1" x14ac:dyDescent="0.3"/>
  <cols>
    <col min="1" max="1" width="1.5" style="465" customWidth="1"/>
    <col min="2" max="2" width="45.3984375" style="465" customWidth="1"/>
    <col min="3" max="3" width="27" style="465" customWidth="1"/>
    <col min="4" max="4" width="13.8984375" style="465" customWidth="1"/>
    <col min="5" max="5" width="8.59765625" style="465" hidden="1" customWidth="1" outlineLevel="1"/>
    <col min="6" max="6" width="13" style="466" bestFit="1" customWidth="1" collapsed="1"/>
    <col min="7" max="7" width="53.59765625" style="485" customWidth="1"/>
    <col min="8" max="8" width="2" style="515" customWidth="1"/>
    <col min="9" max="9" width="13.69921875" style="516" hidden="1" customWidth="1" outlineLevel="1"/>
    <col min="10" max="12" width="10.19921875" style="517" hidden="1" customWidth="1" outlineLevel="1"/>
    <col min="13" max="13" width="1.5" style="517" hidden="1" customWidth="1" outlineLevel="1"/>
    <col min="14" max="14" width="7.59765625" style="517" hidden="1" customWidth="1" outlineLevel="1"/>
    <col min="15" max="15" width="10" style="517" hidden="1" customWidth="1" outlineLevel="1"/>
    <col min="16" max="16" width="7.59765625" style="517" collapsed="1"/>
    <col min="17" max="250" width="7.59765625" style="487"/>
    <col min="251" max="251" width="44.09765625" style="487" customWidth="1"/>
    <col min="252" max="252" width="16.3984375" style="487" customWidth="1"/>
    <col min="253" max="253" width="10.59765625" style="487" customWidth="1"/>
    <col min="254" max="254" width="13.09765625" style="487" customWidth="1"/>
    <col min="255" max="255" width="11.5" style="487" bestFit="1" customWidth="1"/>
    <col min="256" max="256" width="30.59765625" style="487" customWidth="1"/>
    <col min="257" max="506" width="7.59765625" style="487"/>
    <col min="507" max="507" width="44.09765625" style="487" customWidth="1"/>
    <col min="508" max="508" width="16.3984375" style="487" customWidth="1"/>
    <col min="509" max="509" width="10.59765625" style="487" customWidth="1"/>
    <col min="510" max="510" width="13.09765625" style="487" customWidth="1"/>
    <col min="511" max="511" width="11.5" style="487" bestFit="1" customWidth="1"/>
    <col min="512" max="512" width="30.59765625" style="487" customWidth="1"/>
    <col min="513" max="762" width="7.59765625" style="487"/>
    <col min="763" max="763" width="44.09765625" style="487" customWidth="1"/>
    <col min="764" max="764" width="16.3984375" style="487" customWidth="1"/>
    <col min="765" max="765" width="10.59765625" style="487" customWidth="1"/>
    <col min="766" max="766" width="13.09765625" style="487" customWidth="1"/>
    <col min="767" max="767" width="11.5" style="487" bestFit="1" customWidth="1"/>
    <col min="768" max="768" width="30.59765625" style="487" customWidth="1"/>
    <col min="769" max="1018" width="7.59765625" style="487"/>
    <col min="1019" max="1019" width="44.09765625" style="487" customWidth="1"/>
    <col min="1020" max="1020" width="16.3984375" style="487" customWidth="1"/>
    <col min="1021" max="1021" width="10.59765625" style="487" customWidth="1"/>
    <col min="1022" max="1022" width="13.09765625" style="487" customWidth="1"/>
    <col min="1023" max="1023" width="11.5" style="487" bestFit="1" customWidth="1"/>
    <col min="1024" max="1024" width="30.59765625" style="487" customWidth="1"/>
    <col min="1025" max="1274" width="7.59765625" style="487"/>
    <col min="1275" max="1275" width="44.09765625" style="487" customWidth="1"/>
    <col min="1276" max="1276" width="16.3984375" style="487" customWidth="1"/>
    <col min="1277" max="1277" width="10.59765625" style="487" customWidth="1"/>
    <col min="1278" max="1278" width="13.09765625" style="487" customWidth="1"/>
    <col min="1279" max="1279" width="11.5" style="487" bestFit="1" customWidth="1"/>
    <col min="1280" max="1280" width="30.59765625" style="487" customWidth="1"/>
    <col min="1281" max="1530" width="7.59765625" style="487"/>
    <col min="1531" max="1531" width="44.09765625" style="487" customWidth="1"/>
    <col min="1532" max="1532" width="16.3984375" style="487" customWidth="1"/>
    <col min="1533" max="1533" width="10.59765625" style="487" customWidth="1"/>
    <col min="1534" max="1534" width="13.09765625" style="487" customWidth="1"/>
    <col min="1535" max="1535" width="11.5" style="487" bestFit="1" customWidth="1"/>
    <col min="1536" max="1536" width="30.59765625" style="487" customWidth="1"/>
    <col min="1537" max="1786" width="7.59765625" style="487"/>
    <col min="1787" max="1787" width="44.09765625" style="487" customWidth="1"/>
    <col min="1788" max="1788" width="16.3984375" style="487" customWidth="1"/>
    <col min="1789" max="1789" width="10.59765625" style="487" customWidth="1"/>
    <col min="1790" max="1790" width="13.09765625" style="487" customWidth="1"/>
    <col min="1791" max="1791" width="11.5" style="487" bestFit="1" customWidth="1"/>
    <col min="1792" max="1792" width="30.59765625" style="487" customWidth="1"/>
    <col min="1793" max="2042" width="7.59765625" style="487"/>
    <col min="2043" max="2043" width="44.09765625" style="487" customWidth="1"/>
    <col min="2044" max="2044" width="16.3984375" style="487" customWidth="1"/>
    <col min="2045" max="2045" width="10.59765625" style="487" customWidth="1"/>
    <col min="2046" max="2046" width="13.09765625" style="487" customWidth="1"/>
    <col min="2047" max="2047" width="11.5" style="487" bestFit="1" customWidth="1"/>
    <col min="2048" max="2048" width="30.59765625" style="487" customWidth="1"/>
    <col min="2049" max="2298" width="7.59765625" style="487"/>
    <col min="2299" max="2299" width="44.09765625" style="487" customWidth="1"/>
    <col min="2300" max="2300" width="16.3984375" style="487" customWidth="1"/>
    <col min="2301" max="2301" width="10.59765625" style="487" customWidth="1"/>
    <col min="2302" max="2302" width="13.09765625" style="487" customWidth="1"/>
    <col min="2303" max="2303" width="11.5" style="487" bestFit="1" customWidth="1"/>
    <col min="2304" max="2304" width="30.59765625" style="487" customWidth="1"/>
    <col min="2305" max="2554" width="7.59765625" style="487"/>
    <col min="2555" max="2555" width="44.09765625" style="487" customWidth="1"/>
    <col min="2556" max="2556" width="16.3984375" style="487" customWidth="1"/>
    <col min="2557" max="2557" width="10.59765625" style="487" customWidth="1"/>
    <col min="2558" max="2558" width="13.09765625" style="487" customWidth="1"/>
    <col min="2559" max="2559" width="11.5" style="487" bestFit="1" customWidth="1"/>
    <col min="2560" max="2560" width="30.59765625" style="487" customWidth="1"/>
    <col min="2561" max="2810" width="7.59765625" style="487"/>
    <col min="2811" max="2811" width="44.09765625" style="487" customWidth="1"/>
    <col min="2812" max="2812" width="16.3984375" style="487" customWidth="1"/>
    <col min="2813" max="2813" width="10.59765625" style="487" customWidth="1"/>
    <col min="2814" max="2814" width="13.09765625" style="487" customWidth="1"/>
    <col min="2815" max="2815" width="11.5" style="487" bestFit="1" customWidth="1"/>
    <col min="2816" max="2816" width="30.59765625" style="487" customWidth="1"/>
    <col min="2817" max="3066" width="7.59765625" style="487"/>
    <col min="3067" max="3067" width="44.09765625" style="487" customWidth="1"/>
    <col min="3068" max="3068" width="16.3984375" style="487" customWidth="1"/>
    <col min="3069" max="3069" width="10.59765625" style="487" customWidth="1"/>
    <col min="3070" max="3070" width="13.09765625" style="487" customWidth="1"/>
    <col min="3071" max="3071" width="11.5" style="487" bestFit="1" customWidth="1"/>
    <col min="3072" max="3072" width="30.59765625" style="487" customWidth="1"/>
    <col min="3073" max="3322" width="7.59765625" style="487"/>
    <col min="3323" max="3323" width="44.09765625" style="487" customWidth="1"/>
    <col min="3324" max="3324" width="16.3984375" style="487" customWidth="1"/>
    <col min="3325" max="3325" width="10.59765625" style="487" customWidth="1"/>
    <col min="3326" max="3326" width="13.09765625" style="487" customWidth="1"/>
    <col min="3327" max="3327" width="11.5" style="487" bestFit="1" customWidth="1"/>
    <col min="3328" max="3328" width="30.59765625" style="487" customWidth="1"/>
    <col min="3329" max="3578" width="7.59765625" style="487"/>
    <col min="3579" max="3579" width="44.09765625" style="487" customWidth="1"/>
    <col min="3580" max="3580" width="16.3984375" style="487" customWidth="1"/>
    <col min="3581" max="3581" width="10.59765625" style="487" customWidth="1"/>
    <col min="3582" max="3582" width="13.09765625" style="487" customWidth="1"/>
    <col min="3583" max="3583" width="11.5" style="487" bestFit="1" customWidth="1"/>
    <col min="3584" max="3584" width="30.59765625" style="487" customWidth="1"/>
    <col min="3585" max="3834" width="7.59765625" style="487"/>
    <col min="3835" max="3835" width="44.09765625" style="487" customWidth="1"/>
    <col min="3836" max="3836" width="16.3984375" style="487" customWidth="1"/>
    <col min="3837" max="3837" width="10.59765625" style="487" customWidth="1"/>
    <col min="3838" max="3838" width="13.09765625" style="487" customWidth="1"/>
    <col min="3839" max="3839" width="11.5" style="487" bestFit="1" customWidth="1"/>
    <col min="3840" max="3840" width="30.59765625" style="487" customWidth="1"/>
    <col min="3841" max="4090" width="7.59765625" style="487"/>
    <col min="4091" max="4091" width="44.09765625" style="487" customWidth="1"/>
    <col min="4092" max="4092" width="16.3984375" style="487" customWidth="1"/>
    <col min="4093" max="4093" width="10.59765625" style="487" customWidth="1"/>
    <col min="4094" max="4094" width="13.09765625" style="487" customWidth="1"/>
    <col min="4095" max="4095" width="11.5" style="487" bestFit="1" customWidth="1"/>
    <col min="4096" max="4096" width="30.59765625" style="487" customWidth="1"/>
    <col min="4097" max="4346" width="7.59765625" style="487"/>
    <col min="4347" max="4347" width="44.09765625" style="487" customWidth="1"/>
    <col min="4348" max="4348" width="16.3984375" style="487" customWidth="1"/>
    <col min="4349" max="4349" width="10.59765625" style="487" customWidth="1"/>
    <col min="4350" max="4350" width="13.09765625" style="487" customWidth="1"/>
    <col min="4351" max="4351" width="11.5" style="487" bestFit="1" customWidth="1"/>
    <col min="4352" max="4352" width="30.59765625" style="487" customWidth="1"/>
    <col min="4353" max="4602" width="7.59765625" style="487"/>
    <col min="4603" max="4603" width="44.09765625" style="487" customWidth="1"/>
    <col min="4604" max="4604" width="16.3984375" style="487" customWidth="1"/>
    <col min="4605" max="4605" width="10.59765625" style="487" customWidth="1"/>
    <col min="4606" max="4606" width="13.09765625" style="487" customWidth="1"/>
    <col min="4607" max="4607" width="11.5" style="487" bestFit="1" customWidth="1"/>
    <col min="4608" max="4608" width="30.59765625" style="487" customWidth="1"/>
    <col min="4609" max="4858" width="7.59765625" style="487"/>
    <col min="4859" max="4859" width="44.09765625" style="487" customWidth="1"/>
    <col min="4860" max="4860" width="16.3984375" style="487" customWidth="1"/>
    <col min="4861" max="4861" width="10.59765625" style="487" customWidth="1"/>
    <col min="4862" max="4862" width="13.09765625" style="487" customWidth="1"/>
    <col min="4863" max="4863" width="11.5" style="487" bestFit="1" customWidth="1"/>
    <col min="4864" max="4864" width="30.59765625" style="487" customWidth="1"/>
    <col min="4865" max="5114" width="7.59765625" style="487"/>
    <col min="5115" max="5115" width="44.09765625" style="487" customWidth="1"/>
    <col min="5116" max="5116" width="16.3984375" style="487" customWidth="1"/>
    <col min="5117" max="5117" width="10.59765625" style="487" customWidth="1"/>
    <col min="5118" max="5118" width="13.09765625" style="487" customWidth="1"/>
    <col min="5119" max="5119" width="11.5" style="487" bestFit="1" customWidth="1"/>
    <col min="5120" max="5120" width="30.59765625" style="487" customWidth="1"/>
    <col min="5121" max="5370" width="7.59765625" style="487"/>
    <col min="5371" max="5371" width="44.09765625" style="487" customWidth="1"/>
    <col min="5372" max="5372" width="16.3984375" style="487" customWidth="1"/>
    <col min="5373" max="5373" width="10.59765625" style="487" customWidth="1"/>
    <col min="5374" max="5374" width="13.09765625" style="487" customWidth="1"/>
    <col min="5375" max="5375" width="11.5" style="487" bestFit="1" customWidth="1"/>
    <col min="5376" max="5376" width="30.59765625" style="487" customWidth="1"/>
    <col min="5377" max="5626" width="7.59765625" style="487"/>
    <col min="5627" max="5627" width="44.09765625" style="487" customWidth="1"/>
    <col min="5628" max="5628" width="16.3984375" style="487" customWidth="1"/>
    <col min="5629" max="5629" width="10.59765625" style="487" customWidth="1"/>
    <col min="5630" max="5630" width="13.09765625" style="487" customWidth="1"/>
    <col min="5631" max="5631" width="11.5" style="487" bestFit="1" customWidth="1"/>
    <col min="5632" max="5632" width="30.59765625" style="487" customWidth="1"/>
    <col min="5633" max="5882" width="7.59765625" style="487"/>
    <col min="5883" max="5883" width="44.09765625" style="487" customWidth="1"/>
    <col min="5884" max="5884" width="16.3984375" style="487" customWidth="1"/>
    <col min="5885" max="5885" width="10.59765625" style="487" customWidth="1"/>
    <col min="5886" max="5886" width="13.09765625" style="487" customWidth="1"/>
    <col min="5887" max="5887" width="11.5" style="487" bestFit="1" customWidth="1"/>
    <col min="5888" max="5888" width="30.59765625" style="487" customWidth="1"/>
    <col min="5889" max="6138" width="7.59765625" style="487"/>
    <col min="6139" max="6139" width="44.09765625" style="487" customWidth="1"/>
    <col min="6140" max="6140" width="16.3984375" style="487" customWidth="1"/>
    <col min="6141" max="6141" width="10.59765625" style="487" customWidth="1"/>
    <col min="6142" max="6142" width="13.09765625" style="487" customWidth="1"/>
    <col min="6143" max="6143" width="11.5" style="487" bestFit="1" customWidth="1"/>
    <col min="6144" max="6144" width="30.59765625" style="487" customWidth="1"/>
    <col min="6145" max="6394" width="7.59765625" style="487"/>
    <col min="6395" max="6395" width="44.09765625" style="487" customWidth="1"/>
    <col min="6396" max="6396" width="16.3984375" style="487" customWidth="1"/>
    <col min="6397" max="6397" width="10.59765625" style="487" customWidth="1"/>
    <col min="6398" max="6398" width="13.09765625" style="487" customWidth="1"/>
    <col min="6399" max="6399" width="11.5" style="487" bestFit="1" customWidth="1"/>
    <col min="6400" max="6400" width="30.59765625" style="487" customWidth="1"/>
    <col min="6401" max="6650" width="7.59765625" style="487"/>
    <col min="6651" max="6651" width="44.09765625" style="487" customWidth="1"/>
    <col min="6652" max="6652" width="16.3984375" style="487" customWidth="1"/>
    <col min="6653" max="6653" width="10.59765625" style="487" customWidth="1"/>
    <col min="6654" max="6654" width="13.09765625" style="487" customWidth="1"/>
    <col min="6655" max="6655" width="11.5" style="487" bestFit="1" customWidth="1"/>
    <col min="6656" max="6656" width="30.59765625" style="487" customWidth="1"/>
    <col min="6657" max="6906" width="7.59765625" style="487"/>
    <col min="6907" max="6907" width="44.09765625" style="487" customWidth="1"/>
    <col min="6908" max="6908" width="16.3984375" style="487" customWidth="1"/>
    <col min="6909" max="6909" width="10.59765625" style="487" customWidth="1"/>
    <col min="6910" max="6910" width="13.09765625" style="487" customWidth="1"/>
    <col min="6911" max="6911" width="11.5" style="487" bestFit="1" customWidth="1"/>
    <col min="6912" max="6912" width="30.59765625" style="487" customWidth="1"/>
    <col min="6913" max="7162" width="7.59765625" style="487"/>
    <col min="7163" max="7163" width="44.09765625" style="487" customWidth="1"/>
    <col min="7164" max="7164" width="16.3984375" style="487" customWidth="1"/>
    <col min="7165" max="7165" width="10.59765625" style="487" customWidth="1"/>
    <col min="7166" max="7166" width="13.09765625" style="487" customWidth="1"/>
    <col min="7167" max="7167" width="11.5" style="487" bestFit="1" customWidth="1"/>
    <col min="7168" max="7168" width="30.59765625" style="487" customWidth="1"/>
    <col min="7169" max="7418" width="7.59765625" style="487"/>
    <col min="7419" max="7419" width="44.09765625" style="487" customWidth="1"/>
    <col min="7420" max="7420" width="16.3984375" style="487" customWidth="1"/>
    <col min="7421" max="7421" width="10.59765625" style="487" customWidth="1"/>
    <col min="7422" max="7422" width="13.09765625" style="487" customWidth="1"/>
    <col min="7423" max="7423" width="11.5" style="487" bestFit="1" customWidth="1"/>
    <col min="7424" max="7424" width="30.59765625" style="487" customWidth="1"/>
    <col min="7425" max="7674" width="7.59765625" style="487"/>
    <col min="7675" max="7675" width="44.09765625" style="487" customWidth="1"/>
    <col min="7676" max="7676" width="16.3984375" style="487" customWidth="1"/>
    <col min="7677" max="7677" width="10.59765625" style="487" customWidth="1"/>
    <col min="7678" max="7678" width="13.09765625" style="487" customWidth="1"/>
    <col min="7679" max="7679" width="11.5" style="487" bestFit="1" customWidth="1"/>
    <col min="7680" max="7680" width="30.59765625" style="487" customWidth="1"/>
    <col min="7681" max="7930" width="7.59765625" style="487"/>
    <col min="7931" max="7931" width="44.09765625" style="487" customWidth="1"/>
    <col min="7932" max="7932" width="16.3984375" style="487" customWidth="1"/>
    <col min="7933" max="7933" width="10.59765625" style="487" customWidth="1"/>
    <col min="7934" max="7934" width="13.09765625" style="487" customWidth="1"/>
    <col min="7935" max="7935" width="11.5" style="487" bestFit="1" customWidth="1"/>
    <col min="7936" max="7936" width="30.59765625" style="487" customWidth="1"/>
    <col min="7937" max="8186" width="7.59765625" style="487"/>
    <col min="8187" max="8187" width="44.09765625" style="487" customWidth="1"/>
    <col min="8188" max="8188" width="16.3984375" style="487" customWidth="1"/>
    <col min="8189" max="8189" width="10.59765625" style="487" customWidth="1"/>
    <col min="8190" max="8190" width="13.09765625" style="487" customWidth="1"/>
    <col min="8191" max="8191" width="11.5" style="487" bestFit="1" customWidth="1"/>
    <col min="8192" max="8192" width="30.59765625" style="487" customWidth="1"/>
    <col min="8193" max="8442" width="7.59765625" style="487"/>
    <col min="8443" max="8443" width="44.09765625" style="487" customWidth="1"/>
    <col min="8444" max="8444" width="16.3984375" style="487" customWidth="1"/>
    <col min="8445" max="8445" width="10.59765625" style="487" customWidth="1"/>
    <col min="8446" max="8446" width="13.09765625" style="487" customWidth="1"/>
    <col min="8447" max="8447" width="11.5" style="487" bestFit="1" customWidth="1"/>
    <col min="8448" max="8448" width="30.59765625" style="487" customWidth="1"/>
    <col min="8449" max="8698" width="7.59765625" style="487"/>
    <col min="8699" max="8699" width="44.09765625" style="487" customWidth="1"/>
    <col min="8700" max="8700" width="16.3984375" style="487" customWidth="1"/>
    <col min="8701" max="8701" width="10.59765625" style="487" customWidth="1"/>
    <col min="8702" max="8702" width="13.09765625" style="487" customWidth="1"/>
    <col min="8703" max="8703" width="11.5" style="487" bestFit="1" customWidth="1"/>
    <col min="8704" max="8704" width="30.59765625" style="487" customWidth="1"/>
    <col min="8705" max="8954" width="7.59765625" style="487"/>
    <col min="8955" max="8955" width="44.09765625" style="487" customWidth="1"/>
    <col min="8956" max="8956" width="16.3984375" style="487" customWidth="1"/>
    <col min="8957" max="8957" width="10.59765625" style="487" customWidth="1"/>
    <col min="8958" max="8958" width="13.09765625" style="487" customWidth="1"/>
    <col min="8959" max="8959" width="11.5" style="487" bestFit="1" customWidth="1"/>
    <col min="8960" max="8960" width="30.59765625" style="487" customWidth="1"/>
    <col min="8961" max="9210" width="7.59765625" style="487"/>
    <col min="9211" max="9211" width="44.09765625" style="487" customWidth="1"/>
    <col min="9212" max="9212" width="16.3984375" style="487" customWidth="1"/>
    <col min="9213" max="9213" width="10.59765625" style="487" customWidth="1"/>
    <col min="9214" max="9214" width="13.09765625" style="487" customWidth="1"/>
    <col min="9215" max="9215" width="11.5" style="487" bestFit="1" customWidth="1"/>
    <col min="9216" max="9216" width="30.59765625" style="487" customWidth="1"/>
    <col min="9217" max="9466" width="7.59765625" style="487"/>
    <col min="9467" max="9467" width="44.09765625" style="487" customWidth="1"/>
    <col min="9468" max="9468" width="16.3984375" style="487" customWidth="1"/>
    <col min="9469" max="9469" width="10.59765625" style="487" customWidth="1"/>
    <col min="9470" max="9470" width="13.09765625" style="487" customWidth="1"/>
    <col min="9471" max="9471" width="11.5" style="487" bestFit="1" customWidth="1"/>
    <col min="9472" max="9472" width="30.59765625" style="487" customWidth="1"/>
    <col min="9473" max="9722" width="7.59765625" style="487"/>
    <col min="9723" max="9723" width="44.09765625" style="487" customWidth="1"/>
    <col min="9724" max="9724" width="16.3984375" style="487" customWidth="1"/>
    <col min="9725" max="9725" width="10.59765625" style="487" customWidth="1"/>
    <col min="9726" max="9726" width="13.09765625" style="487" customWidth="1"/>
    <col min="9727" max="9727" width="11.5" style="487" bestFit="1" customWidth="1"/>
    <col min="9728" max="9728" width="30.59765625" style="487" customWidth="1"/>
    <col min="9729" max="9978" width="7.59765625" style="487"/>
    <col min="9979" max="9979" width="44.09765625" style="487" customWidth="1"/>
    <col min="9980" max="9980" width="16.3984375" style="487" customWidth="1"/>
    <col min="9981" max="9981" width="10.59765625" style="487" customWidth="1"/>
    <col min="9982" max="9982" width="13.09765625" style="487" customWidth="1"/>
    <col min="9983" max="9983" width="11.5" style="487" bestFit="1" customWidth="1"/>
    <col min="9984" max="9984" width="30.59765625" style="487" customWidth="1"/>
    <col min="9985" max="10234" width="7.59765625" style="487"/>
    <col min="10235" max="10235" width="44.09765625" style="487" customWidth="1"/>
    <col min="10236" max="10236" width="16.3984375" style="487" customWidth="1"/>
    <col min="10237" max="10237" width="10.59765625" style="487" customWidth="1"/>
    <col min="10238" max="10238" width="13.09765625" style="487" customWidth="1"/>
    <col min="10239" max="10239" width="11.5" style="487" bestFit="1" customWidth="1"/>
    <col min="10240" max="10240" width="30.59765625" style="487" customWidth="1"/>
    <col min="10241" max="10490" width="7.59765625" style="487"/>
    <col min="10491" max="10491" width="44.09765625" style="487" customWidth="1"/>
    <col min="10492" max="10492" width="16.3984375" style="487" customWidth="1"/>
    <col min="10493" max="10493" width="10.59765625" style="487" customWidth="1"/>
    <col min="10494" max="10494" width="13.09765625" style="487" customWidth="1"/>
    <col min="10495" max="10495" width="11.5" style="487" bestFit="1" customWidth="1"/>
    <col min="10496" max="10496" width="30.59765625" style="487" customWidth="1"/>
    <col min="10497" max="10746" width="7.59765625" style="487"/>
    <col min="10747" max="10747" width="44.09765625" style="487" customWidth="1"/>
    <col min="10748" max="10748" width="16.3984375" style="487" customWidth="1"/>
    <col min="10749" max="10749" width="10.59765625" style="487" customWidth="1"/>
    <col min="10750" max="10750" width="13.09765625" style="487" customWidth="1"/>
    <col min="10751" max="10751" width="11.5" style="487" bestFit="1" customWidth="1"/>
    <col min="10752" max="10752" width="30.59765625" style="487" customWidth="1"/>
    <col min="10753" max="11002" width="7.59765625" style="487"/>
    <col min="11003" max="11003" width="44.09765625" style="487" customWidth="1"/>
    <col min="11004" max="11004" width="16.3984375" style="487" customWidth="1"/>
    <col min="11005" max="11005" width="10.59765625" style="487" customWidth="1"/>
    <col min="11006" max="11006" width="13.09765625" style="487" customWidth="1"/>
    <col min="11007" max="11007" width="11.5" style="487" bestFit="1" customWidth="1"/>
    <col min="11008" max="11008" width="30.59765625" style="487" customWidth="1"/>
    <col min="11009" max="11258" width="7.59765625" style="487"/>
    <col min="11259" max="11259" width="44.09765625" style="487" customWidth="1"/>
    <col min="11260" max="11260" width="16.3984375" style="487" customWidth="1"/>
    <col min="11261" max="11261" width="10.59765625" style="487" customWidth="1"/>
    <col min="11262" max="11262" width="13.09765625" style="487" customWidth="1"/>
    <col min="11263" max="11263" width="11.5" style="487" bestFit="1" customWidth="1"/>
    <col min="11264" max="11264" width="30.59765625" style="487" customWidth="1"/>
    <col min="11265" max="11514" width="7.59765625" style="487"/>
    <col min="11515" max="11515" width="44.09765625" style="487" customWidth="1"/>
    <col min="11516" max="11516" width="16.3984375" style="487" customWidth="1"/>
    <col min="11517" max="11517" width="10.59765625" style="487" customWidth="1"/>
    <col min="11518" max="11518" width="13.09765625" style="487" customWidth="1"/>
    <col min="11519" max="11519" width="11.5" style="487" bestFit="1" customWidth="1"/>
    <col min="11520" max="11520" width="30.59765625" style="487" customWidth="1"/>
    <col min="11521" max="11770" width="7.59765625" style="487"/>
    <col min="11771" max="11771" width="44.09765625" style="487" customWidth="1"/>
    <col min="11772" max="11772" width="16.3984375" style="487" customWidth="1"/>
    <col min="11773" max="11773" width="10.59765625" style="487" customWidth="1"/>
    <col min="11774" max="11774" width="13.09765625" style="487" customWidth="1"/>
    <col min="11775" max="11775" width="11.5" style="487" bestFit="1" customWidth="1"/>
    <col min="11776" max="11776" width="30.59765625" style="487" customWidth="1"/>
    <col min="11777" max="12026" width="7.59765625" style="487"/>
    <col min="12027" max="12027" width="44.09765625" style="487" customWidth="1"/>
    <col min="12028" max="12028" width="16.3984375" style="487" customWidth="1"/>
    <col min="12029" max="12029" width="10.59765625" style="487" customWidth="1"/>
    <col min="12030" max="12030" width="13.09765625" style="487" customWidth="1"/>
    <col min="12031" max="12031" width="11.5" style="487" bestFit="1" customWidth="1"/>
    <col min="12032" max="12032" width="30.59765625" style="487" customWidth="1"/>
    <col min="12033" max="12282" width="7.59765625" style="487"/>
    <col min="12283" max="12283" width="44.09765625" style="487" customWidth="1"/>
    <col min="12284" max="12284" width="16.3984375" style="487" customWidth="1"/>
    <col min="12285" max="12285" width="10.59765625" style="487" customWidth="1"/>
    <col min="12286" max="12286" width="13.09765625" style="487" customWidth="1"/>
    <col min="12287" max="12287" width="11.5" style="487" bestFit="1" customWidth="1"/>
    <col min="12288" max="12288" width="30.59765625" style="487" customWidth="1"/>
    <col min="12289" max="12538" width="7.59765625" style="487"/>
    <col min="12539" max="12539" width="44.09765625" style="487" customWidth="1"/>
    <col min="12540" max="12540" width="16.3984375" style="487" customWidth="1"/>
    <col min="12541" max="12541" width="10.59765625" style="487" customWidth="1"/>
    <col min="12542" max="12542" width="13.09765625" style="487" customWidth="1"/>
    <col min="12543" max="12543" width="11.5" style="487" bestFit="1" customWidth="1"/>
    <col min="12544" max="12544" width="30.59765625" style="487" customWidth="1"/>
    <col min="12545" max="12794" width="7.59765625" style="487"/>
    <col min="12795" max="12795" width="44.09765625" style="487" customWidth="1"/>
    <col min="12796" max="12796" width="16.3984375" style="487" customWidth="1"/>
    <col min="12797" max="12797" width="10.59765625" style="487" customWidth="1"/>
    <col min="12798" max="12798" width="13.09765625" style="487" customWidth="1"/>
    <col min="12799" max="12799" width="11.5" style="487" bestFit="1" customWidth="1"/>
    <col min="12800" max="12800" width="30.59765625" style="487" customWidth="1"/>
    <col min="12801" max="13050" width="7.59765625" style="487"/>
    <col min="13051" max="13051" width="44.09765625" style="487" customWidth="1"/>
    <col min="13052" max="13052" width="16.3984375" style="487" customWidth="1"/>
    <col min="13053" max="13053" width="10.59765625" style="487" customWidth="1"/>
    <col min="13054" max="13054" width="13.09765625" style="487" customWidth="1"/>
    <col min="13055" max="13055" width="11.5" style="487" bestFit="1" customWidth="1"/>
    <col min="13056" max="13056" width="30.59765625" style="487" customWidth="1"/>
    <col min="13057" max="13306" width="7.59765625" style="487"/>
    <col min="13307" max="13307" width="44.09765625" style="487" customWidth="1"/>
    <col min="13308" max="13308" width="16.3984375" style="487" customWidth="1"/>
    <col min="13309" max="13309" width="10.59765625" style="487" customWidth="1"/>
    <col min="13310" max="13310" width="13.09765625" style="487" customWidth="1"/>
    <col min="13311" max="13311" width="11.5" style="487" bestFit="1" customWidth="1"/>
    <col min="13312" max="13312" width="30.59765625" style="487" customWidth="1"/>
    <col min="13313" max="13562" width="7.59765625" style="487"/>
    <col min="13563" max="13563" width="44.09765625" style="487" customWidth="1"/>
    <col min="13564" max="13564" width="16.3984375" style="487" customWidth="1"/>
    <col min="13565" max="13565" width="10.59765625" style="487" customWidth="1"/>
    <col min="13566" max="13566" width="13.09765625" style="487" customWidth="1"/>
    <col min="13567" max="13567" width="11.5" style="487" bestFit="1" customWidth="1"/>
    <col min="13568" max="13568" width="30.59765625" style="487" customWidth="1"/>
    <col min="13569" max="13818" width="7.59765625" style="487"/>
    <col min="13819" max="13819" width="44.09765625" style="487" customWidth="1"/>
    <col min="13820" max="13820" width="16.3984375" style="487" customWidth="1"/>
    <col min="13821" max="13821" width="10.59765625" style="487" customWidth="1"/>
    <col min="13822" max="13822" width="13.09765625" style="487" customWidth="1"/>
    <col min="13823" max="13823" width="11.5" style="487" bestFit="1" customWidth="1"/>
    <col min="13824" max="13824" width="30.59765625" style="487" customWidth="1"/>
    <col min="13825" max="14074" width="7.59765625" style="487"/>
    <col min="14075" max="14075" width="44.09765625" style="487" customWidth="1"/>
    <col min="14076" max="14076" width="16.3984375" style="487" customWidth="1"/>
    <col min="14077" max="14077" width="10.59765625" style="487" customWidth="1"/>
    <col min="14078" max="14078" width="13.09765625" style="487" customWidth="1"/>
    <col min="14079" max="14079" width="11.5" style="487" bestFit="1" customWidth="1"/>
    <col min="14080" max="14080" width="30.59765625" style="487" customWidth="1"/>
    <col min="14081" max="14330" width="7.59765625" style="487"/>
    <col min="14331" max="14331" width="44.09765625" style="487" customWidth="1"/>
    <col min="14332" max="14332" width="16.3984375" style="487" customWidth="1"/>
    <col min="14333" max="14333" width="10.59765625" style="487" customWidth="1"/>
    <col min="14334" max="14334" width="13.09765625" style="487" customWidth="1"/>
    <col min="14335" max="14335" width="11.5" style="487" bestFit="1" customWidth="1"/>
    <col min="14336" max="14336" width="30.59765625" style="487" customWidth="1"/>
    <col min="14337" max="14586" width="7.59765625" style="487"/>
    <col min="14587" max="14587" width="44.09765625" style="487" customWidth="1"/>
    <col min="14588" max="14588" width="16.3984375" style="487" customWidth="1"/>
    <col min="14589" max="14589" width="10.59765625" style="487" customWidth="1"/>
    <col min="14590" max="14590" width="13.09765625" style="487" customWidth="1"/>
    <col min="14591" max="14591" width="11.5" style="487" bestFit="1" customWidth="1"/>
    <col min="14592" max="14592" width="30.59765625" style="487" customWidth="1"/>
    <col min="14593" max="14842" width="7.59765625" style="487"/>
    <col min="14843" max="14843" width="44.09765625" style="487" customWidth="1"/>
    <col min="14844" max="14844" width="16.3984375" style="487" customWidth="1"/>
    <col min="14845" max="14845" width="10.59765625" style="487" customWidth="1"/>
    <col min="14846" max="14846" width="13.09765625" style="487" customWidth="1"/>
    <col min="14847" max="14847" width="11.5" style="487" bestFit="1" customWidth="1"/>
    <col min="14848" max="14848" width="30.59765625" style="487" customWidth="1"/>
    <col min="14849" max="15098" width="7.59765625" style="487"/>
    <col min="15099" max="15099" width="44.09765625" style="487" customWidth="1"/>
    <col min="15100" max="15100" width="16.3984375" style="487" customWidth="1"/>
    <col min="15101" max="15101" width="10.59765625" style="487" customWidth="1"/>
    <col min="15102" max="15102" width="13.09765625" style="487" customWidth="1"/>
    <col min="15103" max="15103" width="11.5" style="487" bestFit="1" customWidth="1"/>
    <col min="15104" max="15104" width="30.59765625" style="487" customWidth="1"/>
    <col min="15105" max="15354" width="7.59765625" style="487"/>
    <col min="15355" max="15355" width="44.09765625" style="487" customWidth="1"/>
    <col min="15356" max="15356" width="16.3984375" style="487" customWidth="1"/>
    <col min="15357" max="15357" width="10.59765625" style="487" customWidth="1"/>
    <col min="15358" max="15358" width="13.09765625" style="487" customWidth="1"/>
    <col min="15359" max="15359" width="11.5" style="487" bestFit="1" customWidth="1"/>
    <col min="15360" max="15360" width="30.59765625" style="487" customWidth="1"/>
    <col min="15361" max="15610" width="7.59765625" style="487"/>
    <col min="15611" max="15611" width="44.09765625" style="487" customWidth="1"/>
    <col min="15612" max="15612" width="16.3984375" style="487" customWidth="1"/>
    <col min="15613" max="15613" width="10.59765625" style="487" customWidth="1"/>
    <col min="15614" max="15614" width="13.09765625" style="487" customWidth="1"/>
    <col min="15615" max="15615" width="11.5" style="487" bestFit="1" customWidth="1"/>
    <col min="15616" max="15616" width="30.59765625" style="487" customWidth="1"/>
    <col min="15617" max="15866" width="7.59765625" style="487"/>
    <col min="15867" max="15867" width="44.09765625" style="487" customWidth="1"/>
    <col min="15868" max="15868" width="16.3984375" style="487" customWidth="1"/>
    <col min="15869" max="15869" width="10.59765625" style="487" customWidth="1"/>
    <col min="15870" max="15870" width="13.09765625" style="487" customWidth="1"/>
    <col min="15871" max="15871" width="11.5" style="487" bestFit="1" customWidth="1"/>
    <col min="15872" max="15872" width="30.59765625" style="487" customWidth="1"/>
    <col min="15873" max="16122" width="7.59765625" style="487"/>
    <col min="16123" max="16123" width="44.09765625" style="487" customWidth="1"/>
    <col min="16124" max="16124" width="16.3984375" style="487" customWidth="1"/>
    <col min="16125" max="16125" width="10.59765625" style="487" customWidth="1"/>
    <col min="16126" max="16126" width="13.09765625" style="487" customWidth="1"/>
    <col min="16127" max="16127" width="11.5" style="487" bestFit="1" customWidth="1"/>
    <col min="16128" max="16128" width="30.59765625" style="487" customWidth="1"/>
    <col min="16129" max="16384" width="7.59765625" style="487"/>
  </cols>
  <sheetData>
    <row r="1" spans="2:15" ht="18" x14ac:dyDescent="0.3">
      <c r="B1" s="255" t="s">
        <v>444</v>
      </c>
      <c r="C1" s="255"/>
      <c r="D1" s="255"/>
      <c r="E1" s="255"/>
      <c r="F1" s="261"/>
    </row>
    <row r="2" spans="2:15" ht="25.2" customHeight="1" thickBot="1" x14ac:dyDescent="0.35">
      <c r="B2" s="255"/>
      <c r="C2" s="255"/>
      <c r="D2" s="255"/>
      <c r="E2" s="255"/>
      <c r="F2" s="261"/>
      <c r="I2" s="518" t="s">
        <v>1</v>
      </c>
      <c r="J2" s="519"/>
      <c r="K2" s="519"/>
      <c r="L2" s="519"/>
      <c r="M2" s="519"/>
      <c r="N2" s="519"/>
    </row>
    <row r="3" spans="2:15" ht="22.2" customHeight="1" thickBot="1" x14ac:dyDescent="0.35">
      <c r="B3" s="264" t="s">
        <v>445</v>
      </c>
      <c r="C3" s="265"/>
      <c r="D3" s="265"/>
      <c r="E3" s="265"/>
      <c r="F3" s="266"/>
      <c r="G3" s="267"/>
      <c r="I3" s="520"/>
      <c r="J3" s="139" t="s">
        <v>91</v>
      </c>
      <c r="K3" s="140">
        <f>'1.Úvodní parametry'!$D$4</f>
        <v>0.21</v>
      </c>
      <c r="L3" s="141" t="s">
        <v>92</v>
      </c>
      <c r="N3" s="142" t="s">
        <v>93</v>
      </c>
    </row>
    <row r="4" spans="2:15" x14ac:dyDescent="0.3">
      <c r="B4" s="268" t="s">
        <v>446</v>
      </c>
      <c r="C4" s="268" t="s">
        <v>30</v>
      </c>
      <c r="D4" s="268"/>
      <c r="E4" s="268"/>
      <c r="F4" s="270" t="s">
        <v>42</v>
      </c>
      <c r="G4" s="271" t="s">
        <v>19</v>
      </c>
      <c r="I4" s="520" t="s">
        <v>390</v>
      </c>
      <c r="J4" s="143" t="s">
        <v>3</v>
      </c>
      <c r="K4" s="144" t="s">
        <v>43</v>
      </c>
      <c r="L4" s="145" t="str">
        <f>'4. Kalkulace TCO a Porovnání'!$J$5</f>
        <v>v Kč včetně DPH</v>
      </c>
      <c r="N4" s="142" t="s">
        <v>93</v>
      </c>
    </row>
    <row r="5" spans="2:15" ht="18" customHeight="1" x14ac:dyDescent="0.3">
      <c r="B5" s="434" t="s">
        <v>83</v>
      </c>
      <c r="C5" s="435" t="str">
        <f>'1.Úvodní parametry'!$D$29</f>
        <v>Kč/infrastruktura/rok</v>
      </c>
      <c r="D5" s="435"/>
      <c r="E5" s="435"/>
      <c r="F5" s="436">
        <v>0</v>
      </c>
      <c r="G5" s="437"/>
      <c r="I5" s="520" t="s">
        <v>390</v>
      </c>
      <c r="J5" s="146">
        <f>IF($J$4='1.Úvodní parametry'!$D$3,CenaCloudIaaSRok,CenaCloudIaaSRok/(1+$K$3))</f>
        <v>0</v>
      </c>
      <c r="K5" s="147">
        <f>IF($K$4='1.Úvodní parametry'!$D$3,CenaCloudIaaSRok,CenaCloudIaaSRok*(1+$K$3))</f>
        <v>0</v>
      </c>
      <c r="L5" s="148">
        <f>IF($L$4=$J$4,J5,K5)</f>
        <v>0</v>
      </c>
      <c r="N5" s="142" t="s">
        <v>93</v>
      </c>
    </row>
    <row r="6" spans="2:15" ht="18" customHeight="1" x14ac:dyDescent="0.3">
      <c r="B6" s="434" t="s">
        <v>84</v>
      </c>
      <c r="C6" s="435" t="str">
        <f>'1.Úvodní parametry'!$D$30</f>
        <v>Kč/platforma/rok</v>
      </c>
      <c r="D6" s="435"/>
      <c r="E6" s="435"/>
      <c r="F6" s="436">
        <v>0</v>
      </c>
      <c r="G6" s="437"/>
      <c r="I6" s="520" t="s">
        <v>390</v>
      </c>
      <c r="J6" s="146">
        <f>IF($J$4='1.Úvodní parametry'!$D$3,F6,F6/(1+$K$3))</f>
        <v>0</v>
      </c>
      <c r="K6" s="147">
        <f>IF($K$4='1.Úvodní parametry'!$D$3,F6,F6*(1+$K$3))</f>
        <v>0</v>
      </c>
      <c r="L6" s="148">
        <f t="shared" ref="L6:L7" si="0">IF($L$4=$J$4,J6,K6)</f>
        <v>0</v>
      </c>
      <c r="N6" s="142" t="s">
        <v>93</v>
      </c>
    </row>
    <row r="7" spans="2:15" ht="18" customHeight="1" thickBot="1" x14ac:dyDescent="0.35">
      <c r="B7" s="348" t="s">
        <v>85</v>
      </c>
      <c r="C7" s="356" t="str">
        <f>'1.Úvodní parametry'!$D$31</f>
        <v>Kč/software/rok</v>
      </c>
      <c r="D7" s="356"/>
      <c r="E7" s="356"/>
      <c r="F7" s="359">
        <v>0</v>
      </c>
      <c r="G7" s="488"/>
      <c r="I7" s="520" t="s">
        <v>390</v>
      </c>
      <c r="J7" s="146">
        <f>IF($J$4='1.Úvodní parametry'!$D$3,F7,F7/(1+$K$3))</f>
        <v>0</v>
      </c>
      <c r="K7" s="147">
        <f>IF($K$4='1.Úvodní parametry'!$D$3,F7,F7*(1+$K$3))</f>
        <v>0</v>
      </c>
      <c r="L7" s="148">
        <f t="shared" si="0"/>
        <v>0</v>
      </c>
      <c r="N7" s="142" t="s">
        <v>93</v>
      </c>
    </row>
    <row r="8" spans="2:15" ht="18" customHeight="1" thickTop="1" thickBot="1" x14ac:dyDescent="0.35">
      <c r="B8" s="489" t="s">
        <v>389</v>
      </c>
      <c r="C8" s="305" t="str">
        <f>'1.Úvodní parametry'!D24</f>
        <v>Kč/rok</v>
      </c>
      <c r="D8" s="490"/>
      <c r="E8" s="490"/>
      <c r="F8" s="541">
        <f>SUM(F5:F7)</f>
        <v>0</v>
      </c>
      <c r="G8" s="490"/>
      <c r="I8" s="521" t="s">
        <v>390</v>
      </c>
      <c r="J8" s="522">
        <f>SUM(J5:J7)</f>
        <v>0</v>
      </c>
      <c r="K8" s="523">
        <f>SUM(K5:K7)</f>
        <v>0</v>
      </c>
      <c r="L8" s="524">
        <f>SUM(L5:L7)</f>
        <v>0</v>
      </c>
      <c r="N8" s="142" t="s">
        <v>93</v>
      </c>
    </row>
    <row r="9" spans="2:15" ht="16.2" thickTop="1" x14ac:dyDescent="0.3">
      <c r="B9" s="260"/>
      <c r="C9" s="302"/>
      <c r="D9" s="302"/>
      <c r="E9" s="302"/>
      <c r="F9" s="393"/>
      <c r="G9" s="491"/>
      <c r="N9" s="142" t="s">
        <v>93</v>
      </c>
    </row>
    <row r="10" spans="2:15" ht="15.6" x14ac:dyDescent="0.3">
      <c r="B10" s="492" t="s">
        <v>447</v>
      </c>
      <c r="C10" s="493"/>
      <c r="D10" s="302"/>
      <c r="E10" s="302"/>
      <c r="F10" s="393"/>
      <c r="G10" s="491"/>
      <c r="I10" s="520"/>
      <c r="N10" s="142"/>
    </row>
    <row r="11" spans="2:15" ht="15.6" x14ac:dyDescent="0.3">
      <c r="B11" s="260" t="s">
        <v>237</v>
      </c>
      <c r="C11" s="309"/>
      <c r="D11" s="309"/>
      <c r="E11" s="309"/>
      <c r="F11" s="362"/>
      <c r="G11" s="363"/>
      <c r="H11" s="132"/>
      <c r="I11" s="133"/>
      <c r="N11" s="142" t="s">
        <v>93</v>
      </c>
    </row>
    <row r="12" spans="2:15" ht="6" customHeight="1" thickBot="1" x14ac:dyDescent="0.35">
      <c r="B12" s="255"/>
      <c r="C12" s="255"/>
      <c r="D12" s="255"/>
      <c r="E12" s="255"/>
      <c r="F12" s="261"/>
      <c r="G12" s="361"/>
      <c r="H12" s="132"/>
      <c r="I12" s="133"/>
      <c r="N12" s="142" t="s">
        <v>93</v>
      </c>
    </row>
    <row r="13" spans="2:15" ht="15" thickBot="1" x14ac:dyDescent="0.35">
      <c r="B13" s="264" t="s">
        <v>238</v>
      </c>
      <c r="C13" s="265"/>
      <c r="D13" s="265"/>
      <c r="E13" s="265"/>
      <c r="F13" s="266"/>
      <c r="G13" s="267"/>
      <c r="H13" s="132"/>
      <c r="I13" s="133"/>
      <c r="N13" s="142" t="s">
        <v>93</v>
      </c>
      <c r="O13" s="208"/>
    </row>
    <row r="14" spans="2:15" x14ac:dyDescent="0.3">
      <c r="B14" s="268"/>
      <c r="C14" s="297" t="s">
        <v>30</v>
      </c>
      <c r="D14" s="364" t="s">
        <v>239</v>
      </c>
      <c r="E14" s="297" t="s">
        <v>240</v>
      </c>
      <c r="F14" s="270" t="s">
        <v>42</v>
      </c>
      <c r="G14" s="285" t="s">
        <v>19</v>
      </c>
      <c r="H14" s="132"/>
      <c r="I14" s="133"/>
      <c r="J14" s="143" t="s">
        <v>3</v>
      </c>
      <c r="K14" s="144" t="s">
        <v>43</v>
      </c>
      <c r="L14" s="145" t="str">
        <f>'4. Kalkulace TCO a Porovnání'!$J$5</f>
        <v>v Kč včetně DPH</v>
      </c>
      <c r="N14" s="142" t="s">
        <v>93</v>
      </c>
      <c r="O14" s="525"/>
    </row>
    <row r="15" spans="2:15" x14ac:dyDescent="0.3">
      <c r="B15" s="365" t="s">
        <v>241</v>
      </c>
      <c r="C15" s="308" t="str">
        <f>'1.Úvodní parametry'!$D$26</f>
        <v>Hodina/rok</v>
      </c>
      <c r="D15" s="252">
        <v>2</v>
      </c>
      <c r="E15" s="303">
        <f>VLOOKUP(D15,'1.Úvodní parametry'!$D$43:$E$45,2,FALSE)</f>
        <v>657</v>
      </c>
      <c r="F15" s="71">
        <v>0</v>
      </c>
      <c r="G15" s="366"/>
      <c r="H15" s="132"/>
      <c r="I15" s="152" t="s">
        <v>242</v>
      </c>
      <c r="J15" s="146">
        <f>E15*F15</f>
        <v>0</v>
      </c>
      <c r="K15" s="147">
        <f>E15*F15</f>
        <v>0</v>
      </c>
      <c r="L15" s="148">
        <f t="shared" ref="L15:L18" si="1">IF($L$4=$J$4,J15,K15)</f>
        <v>0</v>
      </c>
      <c r="N15" s="142" t="s">
        <v>243</v>
      </c>
    </row>
    <row r="16" spans="2:15" x14ac:dyDescent="0.3">
      <c r="B16" s="365" t="s">
        <v>244</v>
      </c>
      <c r="C16" s="308" t="str">
        <f>'1.Úvodní parametry'!$D$26</f>
        <v>Hodina/rok</v>
      </c>
      <c r="D16" s="252">
        <v>1</v>
      </c>
      <c r="E16" s="303">
        <f>VLOOKUP(D16,'1.Úvodní parametry'!$D$43:$E$45,2,FALSE)</f>
        <v>608</v>
      </c>
      <c r="F16" s="71">
        <v>0</v>
      </c>
      <c r="G16" s="366"/>
      <c r="H16" s="132"/>
      <c r="I16" s="178" t="s">
        <v>242</v>
      </c>
      <c r="J16" s="146">
        <f>E16*F16</f>
        <v>0</v>
      </c>
      <c r="K16" s="147">
        <f>E16*F16</f>
        <v>0</v>
      </c>
      <c r="L16" s="148">
        <f t="shared" si="1"/>
        <v>0</v>
      </c>
      <c r="N16" s="142" t="s">
        <v>243</v>
      </c>
    </row>
    <row r="17" spans="2:15" x14ac:dyDescent="0.3">
      <c r="B17" s="365" t="s">
        <v>245</v>
      </c>
      <c r="C17" s="308" t="str">
        <f>'1.Úvodní parametry'!$D$26</f>
        <v>Hodina/rok</v>
      </c>
      <c r="D17" s="252">
        <v>3</v>
      </c>
      <c r="E17" s="303">
        <f>VLOOKUP(D17,'1.Úvodní parametry'!$D$43:$E$45,2,FALSE)</f>
        <v>709</v>
      </c>
      <c r="F17" s="71">
        <v>0</v>
      </c>
      <c r="G17" s="366"/>
      <c r="H17" s="132"/>
      <c r="I17" s="178" t="s">
        <v>242</v>
      </c>
      <c r="J17" s="146">
        <f>E17*F17</f>
        <v>0</v>
      </c>
      <c r="K17" s="147">
        <f>E17*F17</f>
        <v>0</v>
      </c>
      <c r="L17" s="148">
        <f t="shared" si="1"/>
        <v>0</v>
      </c>
      <c r="M17" s="525"/>
      <c r="N17" s="142" t="s">
        <v>243</v>
      </c>
    </row>
    <row r="18" spans="2:15" x14ac:dyDescent="0.3">
      <c r="B18" s="365" t="s">
        <v>246</v>
      </c>
      <c r="C18" s="308" t="str">
        <f>'1.Úvodní parametry'!$D$24</f>
        <v>Kč/rok</v>
      </c>
      <c r="D18" s="367"/>
      <c r="E18" s="303"/>
      <c r="F18" s="71">
        <v>0</v>
      </c>
      <c r="G18" s="366"/>
      <c r="H18" s="132"/>
      <c r="I18" s="178" t="s">
        <v>242</v>
      </c>
      <c r="J18" s="146">
        <f>IF($J$4='1.Úvodní parametry'!$D$3,F18,F18/(1+$K$3))</f>
        <v>0</v>
      </c>
      <c r="K18" s="147">
        <f>IF($K$4='1.Úvodní parametry'!$D$3,F18,F18*(1+$K$3))</f>
        <v>0</v>
      </c>
      <c r="L18" s="148">
        <f t="shared" si="1"/>
        <v>0</v>
      </c>
      <c r="N18" s="142" t="s">
        <v>93</v>
      </c>
      <c r="O18" s="208"/>
    </row>
    <row r="19" spans="2:15" ht="15" thickBot="1" x14ac:dyDescent="0.35">
      <c r="B19" s="368" t="s">
        <v>247</v>
      </c>
      <c r="C19" s="348" t="str">
        <f>'1.Úvodní parametry'!$D$24</f>
        <v>Kč/rok</v>
      </c>
      <c r="D19" s="348"/>
      <c r="E19" s="348"/>
      <c r="F19" s="542">
        <f>IF($J$14='1.Úvodní parametry'!$D$3,'3. Vstupní data cloud'!J19,'3. Vstupní data cloud'!K19)</f>
        <v>0</v>
      </c>
      <c r="G19" s="369" t="s">
        <v>248</v>
      </c>
      <c r="H19" s="132"/>
      <c r="I19" s="133"/>
      <c r="J19" s="526">
        <f>SUM(J15:J18)</f>
        <v>0</v>
      </c>
      <c r="K19" s="527">
        <f>SUM(K15:K18)</f>
        <v>0</v>
      </c>
      <c r="L19" s="528">
        <f>SUM(L15:L18)</f>
        <v>0</v>
      </c>
      <c r="N19" s="142" t="s">
        <v>93</v>
      </c>
    </row>
    <row r="20" spans="2:15" ht="15.6" thickTop="1" thickBot="1" x14ac:dyDescent="0.35">
      <c r="B20" s="262"/>
      <c r="C20" s="262"/>
      <c r="D20" s="262"/>
      <c r="E20" s="262"/>
      <c r="F20" s="371"/>
      <c r="N20" s="142" t="s">
        <v>93</v>
      </c>
    </row>
    <row r="21" spans="2:15" ht="15" thickBot="1" x14ac:dyDescent="0.35">
      <c r="B21" s="372" t="s">
        <v>249</v>
      </c>
      <c r="C21" s="265"/>
      <c r="D21" s="265"/>
      <c r="E21" s="265"/>
      <c r="F21" s="373"/>
      <c r="G21" s="267"/>
      <c r="H21" s="132"/>
      <c r="I21" s="133"/>
      <c r="N21" s="142" t="s">
        <v>93</v>
      </c>
    </row>
    <row r="22" spans="2:15" x14ac:dyDescent="0.3">
      <c r="B22" s="268"/>
      <c r="C22" s="297" t="s">
        <v>30</v>
      </c>
      <c r="D22" s="364" t="s">
        <v>239</v>
      </c>
      <c r="E22" s="297" t="s">
        <v>240</v>
      </c>
      <c r="F22" s="270" t="s">
        <v>42</v>
      </c>
      <c r="G22" s="285" t="s">
        <v>19</v>
      </c>
      <c r="H22" s="132"/>
      <c r="I22" s="133"/>
      <c r="J22" s="143" t="s">
        <v>3</v>
      </c>
      <c r="K22" s="144" t="s">
        <v>43</v>
      </c>
      <c r="L22" s="145" t="str">
        <f>'4. Kalkulace TCO a Porovnání'!$J$5</f>
        <v>v Kč včetně DPH</v>
      </c>
      <c r="N22" s="142" t="s">
        <v>93</v>
      </c>
    </row>
    <row r="23" spans="2:15" x14ac:dyDescent="0.3">
      <c r="B23" s="365" t="s">
        <v>250</v>
      </c>
      <c r="C23" s="308" t="str">
        <f>'1.Úvodní parametry'!$D$26</f>
        <v>Hodina/rok</v>
      </c>
      <c r="D23" s="252">
        <v>1</v>
      </c>
      <c r="E23" s="303">
        <f>VLOOKUP(D23,'1.Úvodní parametry'!$D$43:$E$45,2,FALSE)</f>
        <v>608</v>
      </c>
      <c r="F23" s="374">
        <v>0</v>
      </c>
      <c r="G23" s="366"/>
      <c r="H23" s="132"/>
      <c r="I23" s="188" t="s">
        <v>251</v>
      </c>
      <c r="J23" s="146">
        <f>E23*F23</f>
        <v>0</v>
      </c>
      <c r="K23" s="147">
        <f>E23*F23</f>
        <v>0</v>
      </c>
      <c r="L23" s="148">
        <f t="shared" ref="L23" si="2">IF($L$4=$J$4,J23,K23)</f>
        <v>0</v>
      </c>
      <c r="N23" s="142" t="s">
        <v>243</v>
      </c>
    </row>
    <row r="24" spans="2:15" x14ac:dyDescent="0.3">
      <c r="B24" s="365" t="s">
        <v>252</v>
      </c>
      <c r="C24" s="308" t="str">
        <f>'1.Úvodní parametry'!$D$26</f>
        <v>Hodina/rok</v>
      </c>
      <c r="D24" s="252">
        <v>2</v>
      </c>
      <c r="E24" s="303">
        <f>VLOOKUP(D24,'1.Úvodní parametry'!$D$43:$E$45,2,FALSE)</f>
        <v>657</v>
      </c>
      <c r="F24" s="374">
        <v>0</v>
      </c>
      <c r="G24" s="366"/>
      <c r="H24" s="132"/>
      <c r="I24" s="188" t="s">
        <v>253</v>
      </c>
      <c r="J24" s="146">
        <f t="shared" ref="J24:J35" si="3">E24*F24</f>
        <v>0</v>
      </c>
      <c r="K24" s="147">
        <f t="shared" ref="K24:K35" si="4">E24*F24</f>
        <v>0</v>
      </c>
      <c r="L24" s="148">
        <f t="shared" ref="L24:L38" si="5">IF($L$4=$J$4,J24,K24)</f>
        <v>0</v>
      </c>
      <c r="N24" s="142" t="s">
        <v>243</v>
      </c>
    </row>
    <row r="25" spans="2:15" x14ac:dyDescent="0.3">
      <c r="B25" s="365" t="s">
        <v>254</v>
      </c>
      <c r="C25" s="308" t="str">
        <f>'1.Úvodní parametry'!$D$26</f>
        <v>Hodina/rok</v>
      </c>
      <c r="D25" s="252">
        <v>3</v>
      </c>
      <c r="E25" s="303">
        <f>VLOOKUP(D25,'1.Úvodní parametry'!$D$43:$E$45,2,FALSE)</f>
        <v>709</v>
      </c>
      <c r="F25" s="374">
        <v>0</v>
      </c>
      <c r="G25" s="366"/>
      <c r="H25" s="132"/>
      <c r="I25" s="188" t="s">
        <v>255</v>
      </c>
      <c r="J25" s="146">
        <f t="shared" si="3"/>
        <v>0</v>
      </c>
      <c r="K25" s="147">
        <f t="shared" si="4"/>
        <v>0</v>
      </c>
      <c r="L25" s="148">
        <f t="shared" si="5"/>
        <v>0</v>
      </c>
      <c r="N25" s="142" t="s">
        <v>243</v>
      </c>
    </row>
    <row r="26" spans="2:15" x14ac:dyDescent="0.3">
      <c r="B26" s="365" t="s">
        <v>256</v>
      </c>
      <c r="C26" s="308" t="str">
        <f>'1.Úvodní parametry'!$D$26</f>
        <v>Hodina/rok</v>
      </c>
      <c r="D26" s="252">
        <v>3</v>
      </c>
      <c r="E26" s="303">
        <f>VLOOKUP(D26,'1.Úvodní parametry'!$D$43:$E$45,2,FALSE)</f>
        <v>709</v>
      </c>
      <c r="F26" s="374">
        <v>0</v>
      </c>
      <c r="G26" s="366"/>
      <c r="H26" s="132"/>
      <c r="I26" s="188" t="s">
        <v>257</v>
      </c>
      <c r="J26" s="146">
        <f t="shared" si="3"/>
        <v>0</v>
      </c>
      <c r="K26" s="147">
        <f t="shared" si="4"/>
        <v>0</v>
      </c>
      <c r="L26" s="148">
        <f t="shared" si="5"/>
        <v>0</v>
      </c>
      <c r="N26" s="142" t="s">
        <v>243</v>
      </c>
    </row>
    <row r="27" spans="2:15" x14ac:dyDescent="0.3">
      <c r="B27" s="365" t="s">
        <v>258</v>
      </c>
      <c r="C27" s="308" t="str">
        <f>'1.Úvodní parametry'!$D$26</f>
        <v>Hodina/rok</v>
      </c>
      <c r="D27" s="252">
        <v>1</v>
      </c>
      <c r="E27" s="303">
        <f>VLOOKUP(D27,'1.Úvodní parametry'!$D$43:$E$45,2,FALSE)</f>
        <v>608</v>
      </c>
      <c r="F27" s="374">
        <v>0</v>
      </c>
      <c r="G27" s="366"/>
      <c r="H27" s="132"/>
      <c r="I27" s="188" t="s">
        <v>259</v>
      </c>
      <c r="J27" s="146">
        <f t="shared" si="3"/>
        <v>0</v>
      </c>
      <c r="K27" s="147">
        <f t="shared" si="4"/>
        <v>0</v>
      </c>
      <c r="L27" s="148">
        <f t="shared" si="5"/>
        <v>0</v>
      </c>
      <c r="N27" s="142" t="s">
        <v>243</v>
      </c>
    </row>
    <row r="28" spans="2:15" ht="18" customHeight="1" x14ac:dyDescent="0.3">
      <c r="B28" s="365" t="s">
        <v>260</v>
      </c>
      <c r="C28" s="308" t="str">
        <f>'1.Úvodní parametry'!$D$26</f>
        <v>Hodina/rok</v>
      </c>
      <c r="D28" s="252">
        <v>2</v>
      </c>
      <c r="E28" s="303">
        <f>VLOOKUP(D28,'1.Úvodní parametry'!$D$43:$E$45,2,FALSE)</f>
        <v>657</v>
      </c>
      <c r="F28" s="374">
        <v>0</v>
      </c>
      <c r="G28" s="366"/>
      <c r="H28" s="132"/>
      <c r="I28" s="188" t="s">
        <v>261</v>
      </c>
      <c r="J28" s="146">
        <f t="shared" si="3"/>
        <v>0</v>
      </c>
      <c r="K28" s="147">
        <f t="shared" si="4"/>
        <v>0</v>
      </c>
      <c r="L28" s="148">
        <f t="shared" si="5"/>
        <v>0</v>
      </c>
      <c r="N28" s="142" t="s">
        <v>243</v>
      </c>
    </row>
    <row r="29" spans="2:15" x14ac:dyDescent="0.3">
      <c r="B29" s="365" t="s">
        <v>262</v>
      </c>
      <c r="C29" s="308" t="str">
        <f>'1.Úvodní parametry'!$D$26</f>
        <v>Hodina/rok</v>
      </c>
      <c r="D29" s="252">
        <v>2</v>
      </c>
      <c r="E29" s="303">
        <f>VLOOKUP(D29,'1.Úvodní parametry'!$D$43:$E$45,2,FALSE)</f>
        <v>657</v>
      </c>
      <c r="F29" s="374">
        <v>0</v>
      </c>
      <c r="G29" s="366"/>
      <c r="H29" s="132"/>
      <c r="I29" s="188" t="s">
        <v>263</v>
      </c>
      <c r="J29" s="146">
        <f t="shared" si="3"/>
        <v>0</v>
      </c>
      <c r="K29" s="147">
        <f t="shared" si="4"/>
        <v>0</v>
      </c>
      <c r="L29" s="148">
        <f t="shared" si="5"/>
        <v>0</v>
      </c>
      <c r="N29" s="142" t="s">
        <v>243</v>
      </c>
    </row>
    <row r="30" spans="2:15" x14ac:dyDescent="0.3">
      <c r="B30" s="365" t="s">
        <v>264</v>
      </c>
      <c r="C30" s="308" t="str">
        <f>'1.Úvodní parametry'!$D$26</f>
        <v>Hodina/rok</v>
      </c>
      <c r="D30" s="252">
        <v>2</v>
      </c>
      <c r="E30" s="303">
        <f>VLOOKUP(D30,'1.Úvodní parametry'!$D$43:$E$45,2,FALSE)</f>
        <v>657</v>
      </c>
      <c r="F30" s="374">
        <v>0</v>
      </c>
      <c r="G30" s="366"/>
      <c r="H30" s="132"/>
      <c r="I30" s="188" t="s">
        <v>265</v>
      </c>
      <c r="J30" s="146">
        <f t="shared" si="3"/>
        <v>0</v>
      </c>
      <c r="K30" s="147">
        <f t="shared" si="4"/>
        <v>0</v>
      </c>
      <c r="L30" s="148">
        <f t="shared" si="5"/>
        <v>0</v>
      </c>
      <c r="N30" s="142" t="s">
        <v>243</v>
      </c>
    </row>
    <row r="31" spans="2:15" x14ac:dyDescent="0.3">
      <c r="B31" s="365" t="s">
        <v>266</v>
      </c>
      <c r="C31" s="308" t="str">
        <f>'1.Úvodní parametry'!$D$26</f>
        <v>Hodina/rok</v>
      </c>
      <c r="D31" s="252">
        <v>2</v>
      </c>
      <c r="E31" s="303">
        <f>VLOOKUP(D31,'1.Úvodní parametry'!$D$43:$E$45,2,FALSE)</f>
        <v>657</v>
      </c>
      <c r="F31" s="374">
        <v>0</v>
      </c>
      <c r="G31" s="366"/>
      <c r="H31" s="132"/>
      <c r="I31" s="188" t="s">
        <v>267</v>
      </c>
      <c r="J31" s="146">
        <f t="shared" si="3"/>
        <v>0</v>
      </c>
      <c r="K31" s="147">
        <f t="shared" si="4"/>
        <v>0</v>
      </c>
      <c r="L31" s="148">
        <f t="shared" si="5"/>
        <v>0</v>
      </c>
      <c r="N31" s="142" t="s">
        <v>243</v>
      </c>
    </row>
    <row r="32" spans="2:15" x14ac:dyDescent="0.3">
      <c r="B32" s="324" t="s">
        <v>268</v>
      </c>
      <c r="C32" s="308" t="str">
        <f>'1.Úvodní parametry'!$D$26</f>
        <v>Hodina/rok</v>
      </c>
      <c r="D32" s="252">
        <v>2</v>
      </c>
      <c r="E32" s="303">
        <f>VLOOKUP(D32,'1.Úvodní parametry'!$D$43:$E$45,2,FALSE)</f>
        <v>657</v>
      </c>
      <c r="F32" s="374">
        <v>0</v>
      </c>
      <c r="G32" s="366"/>
      <c r="H32" s="132"/>
      <c r="I32" s="188" t="s">
        <v>257</v>
      </c>
      <c r="J32" s="146">
        <f t="shared" si="3"/>
        <v>0</v>
      </c>
      <c r="K32" s="147">
        <f t="shared" si="4"/>
        <v>0</v>
      </c>
      <c r="L32" s="148">
        <f t="shared" si="5"/>
        <v>0</v>
      </c>
      <c r="N32" s="142" t="s">
        <v>243</v>
      </c>
    </row>
    <row r="33" spans="2:15" x14ac:dyDescent="0.3">
      <c r="B33" s="365" t="s">
        <v>269</v>
      </c>
      <c r="C33" s="308" t="str">
        <f>'1.Úvodní parametry'!$D$26</f>
        <v>Hodina/rok</v>
      </c>
      <c r="D33" s="252">
        <v>2</v>
      </c>
      <c r="E33" s="303">
        <f>VLOOKUP(D33,'1.Úvodní parametry'!$D$43:$E$45,2,FALSE)</f>
        <v>657</v>
      </c>
      <c r="F33" s="374">
        <v>0</v>
      </c>
      <c r="G33" s="366"/>
      <c r="H33" s="132"/>
      <c r="I33" s="188" t="s">
        <v>270</v>
      </c>
      <c r="J33" s="146">
        <f t="shared" si="3"/>
        <v>0</v>
      </c>
      <c r="K33" s="147">
        <f t="shared" si="4"/>
        <v>0</v>
      </c>
      <c r="L33" s="148">
        <f t="shared" si="5"/>
        <v>0</v>
      </c>
      <c r="M33" s="525"/>
      <c r="N33" s="142" t="s">
        <v>243</v>
      </c>
    </row>
    <row r="34" spans="2:15" x14ac:dyDescent="0.3">
      <c r="B34" s="365" t="s">
        <v>271</v>
      </c>
      <c r="C34" s="308" t="str">
        <f>'1.Úvodní parametry'!$D$26</f>
        <v>Hodina/rok</v>
      </c>
      <c r="D34" s="252">
        <v>3</v>
      </c>
      <c r="E34" s="303">
        <f>VLOOKUP(D34,'1.Úvodní parametry'!$D$43:$E$45,2,FALSE)</f>
        <v>709</v>
      </c>
      <c r="F34" s="374">
        <v>0</v>
      </c>
      <c r="G34" s="366"/>
      <c r="H34" s="132"/>
      <c r="I34" s="188" t="s">
        <v>272</v>
      </c>
      <c r="J34" s="146">
        <f t="shared" si="3"/>
        <v>0</v>
      </c>
      <c r="K34" s="147">
        <f t="shared" si="4"/>
        <v>0</v>
      </c>
      <c r="L34" s="148">
        <f t="shared" si="5"/>
        <v>0</v>
      </c>
      <c r="N34" s="142" t="s">
        <v>243</v>
      </c>
    </row>
    <row r="35" spans="2:15" x14ac:dyDescent="0.3">
      <c r="B35" s="365" t="s">
        <v>273</v>
      </c>
      <c r="C35" s="308" t="str">
        <f>'1.Úvodní parametry'!$D$26</f>
        <v>Hodina/rok</v>
      </c>
      <c r="D35" s="252">
        <v>3</v>
      </c>
      <c r="E35" s="303">
        <f>VLOOKUP(D35,'1.Úvodní parametry'!$D$43:$E$45,2,FALSE)</f>
        <v>709</v>
      </c>
      <c r="F35" s="374">
        <v>0</v>
      </c>
      <c r="G35" s="366"/>
      <c r="H35" s="132"/>
      <c r="I35" s="188" t="s">
        <v>274</v>
      </c>
      <c r="J35" s="146">
        <f t="shared" si="3"/>
        <v>0</v>
      </c>
      <c r="K35" s="147">
        <f t="shared" si="4"/>
        <v>0</v>
      </c>
      <c r="L35" s="148">
        <f t="shared" si="5"/>
        <v>0</v>
      </c>
      <c r="N35" s="142" t="s">
        <v>275</v>
      </c>
    </row>
    <row r="36" spans="2:15" x14ac:dyDescent="0.3">
      <c r="B36" s="308" t="s">
        <v>279</v>
      </c>
      <c r="C36" s="308" t="str">
        <f>'1.Úvodní parametry'!$D$26</f>
        <v>Hodina/rok</v>
      </c>
      <c r="D36" s="252">
        <v>3</v>
      </c>
      <c r="E36" s="303">
        <f>VLOOKUP(D36,'1.Úvodní parametry'!$D$43:$E$45,2,FALSE)</f>
        <v>709</v>
      </c>
      <c r="F36" s="374">
        <v>0</v>
      </c>
      <c r="G36" s="304"/>
      <c r="H36" s="132"/>
      <c r="I36" s="152" t="s">
        <v>280</v>
      </c>
      <c r="J36" s="146">
        <f t="shared" ref="J36" si="6">E36*F36</f>
        <v>0</v>
      </c>
      <c r="K36" s="147">
        <f t="shared" ref="K36" si="7">E36*F36</f>
        <v>0</v>
      </c>
      <c r="L36" s="148">
        <f t="shared" ref="L36" si="8">IF($L$4=$J$4,J36,K36)</f>
        <v>0</v>
      </c>
      <c r="N36" s="142" t="s">
        <v>93</v>
      </c>
      <c r="O36" s="529" t="s">
        <v>475</v>
      </c>
    </row>
    <row r="37" spans="2:15" x14ac:dyDescent="0.3">
      <c r="B37" s="365" t="s">
        <v>281</v>
      </c>
      <c r="C37" s="308" t="str">
        <f>'1.Úvodní parametry'!$D$24</f>
        <v>Kč/rok</v>
      </c>
      <c r="D37" s="367"/>
      <c r="E37" s="303"/>
      <c r="F37" s="71">
        <v>0</v>
      </c>
      <c r="G37" s="366"/>
      <c r="H37" s="132"/>
      <c r="I37" s="190" t="s">
        <v>270</v>
      </c>
      <c r="J37" s="146">
        <f>IF($J$4='1.Úvodní parametry'!$D$3,F37,F37/(1+$K$3))</f>
        <v>0</v>
      </c>
      <c r="K37" s="147">
        <f>IF($K$4='1.Úvodní parametry'!$D$3,F37,F37*(1+$K$3))</f>
        <v>0</v>
      </c>
      <c r="L37" s="148">
        <f t="shared" si="5"/>
        <v>0</v>
      </c>
      <c r="N37" s="142" t="s">
        <v>93</v>
      </c>
    </row>
    <row r="38" spans="2:15" x14ac:dyDescent="0.3">
      <c r="B38" s="365" t="s">
        <v>282</v>
      </c>
      <c r="C38" s="308" t="str">
        <f>'1.Úvodní parametry'!$D$24</f>
        <v>Kč/rok</v>
      </c>
      <c r="D38" s="367"/>
      <c r="E38" s="303"/>
      <c r="F38" s="71">
        <v>0</v>
      </c>
      <c r="G38" s="366"/>
      <c r="H38" s="132"/>
      <c r="I38" s="152" t="s">
        <v>272</v>
      </c>
      <c r="J38" s="146">
        <f>IF($J$4='1.Úvodní parametry'!$D$3,F38,F38/(1+$K$3))</f>
        <v>0</v>
      </c>
      <c r="K38" s="147">
        <f>IF($K$4='1.Úvodní parametry'!$D$3,F38,F38*(1+$K$3))</f>
        <v>0</v>
      </c>
      <c r="L38" s="148">
        <f t="shared" si="5"/>
        <v>0</v>
      </c>
      <c r="N38" s="142" t="s">
        <v>93</v>
      </c>
    </row>
    <row r="39" spans="2:15" ht="15" thickBot="1" x14ac:dyDescent="0.35">
      <c r="B39" s="368" t="s">
        <v>283</v>
      </c>
      <c r="C39" s="348" t="str">
        <f>JenotkaMěny</f>
        <v>Kč</v>
      </c>
      <c r="D39" s="348"/>
      <c r="E39" s="348"/>
      <c r="F39" s="542">
        <f>IF($J$14='1.Úvodní parametry'!$D$3,'3. Vstupní data cloud'!J39,'3. Vstupní data cloud'!K39)</f>
        <v>0</v>
      </c>
      <c r="G39" s="369" t="s">
        <v>248</v>
      </c>
      <c r="H39" s="132"/>
      <c r="I39" s="133"/>
      <c r="J39" s="526">
        <f>SUM(J23:J38)</f>
        <v>0</v>
      </c>
      <c r="K39" s="527">
        <f>SUM(K23:K38)</f>
        <v>0</v>
      </c>
      <c r="L39" s="528">
        <f>SUM(L23:L38)</f>
        <v>0</v>
      </c>
      <c r="N39" s="142" t="s">
        <v>93</v>
      </c>
    </row>
    <row r="40" spans="2:15" ht="15.6" thickTop="1" thickBot="1" x14ac:dyDescent="0.35">
      <c r="B40" s="375"/>
      <c r="C40" s="376"/>
      <c r="D40" s="376"/>
      <c r="E40" s="376"/>
      <c r="F40" s="377"/>
      <c r="G40" s="376"/>
      <c r="N40" s="142" t="s">
        <v>93</v>
      </c>
    </row>
    <row r="41" spans="2:15" ht="15" thickBot="1" x14ac:dyDescent="0.35">
      <c r="B41" s="264" t="s">
        <v>284</v>
      </c>
      <c r="C41" s="265"/>
      <c r="D41" s="265"/>
      <c r="E41" s="265"/>
      <c r="F41" s="373"/>
      <c r="G41" s="267"/>
      <c r="H41" s="132"/>
      <c r="I41" s="133"/>
      <c r="N41" s="142" t="s">
        <v>93</v>
      </c>
    </row>
    <row r="42" spans="2:15" x14ac:dyDescent="0.3">
      <c r="B42" s="268"/>
      <c r="C42" s="297" t="s">
        <v>30</v>
      </c>
      <c r="D42" s="364" t="s">
        <v>239</v>
      </c>
      <c r="E42" s="297" t="s">
        <v>240</v>
      </c>
      <c r="F42" s="270" t="s">
        <v>42</v>
      </c>
      <c r="G42" s="285" t="s">
        <v>19</v>
      </c>
      <c r="H42" s="132"/>
      <c r="I42" s="133"/>
      <c r="J42" s="143" t="s">
        <v>3</v>
      </c>
      <c r="K42" s="144" t="s">
        <v>43</v>
      </c>
      <c r="L42" s="145" t="str">
        <f>'4. Kalkulace TCO a Porovnání'!$J$5</f>
        <v>v Kč včetně DPH</v>
      </c>
      <c r="N42" s="142" t="s">
        <v>93</v>
      </c>
    </row>
    <row r="43" spans="2:15" x14ac:dyDescent="0.3">
      <c r="B43" s="365" t="s">
        <v>285</v>
      </c>
      <c r="C43" s="308" t="str">
        <f>'1.Úvodní parametry'!$D$26</f>
        <v>Hodina/rok</v>
      </c>
      <c r="D43" s="252">
        <v>2</v>
      </c>
      <c r="E43" s="303">
        <f>VLOOKUP(D43,'1.Úvodní parametry'!$D$43:$E$45,2,FALSE)</f>
        <v>657</v>
      </c>
      <c r="F43" s="374">
        <v>0</v>
      </c>
      <c r="G43" s="366"/>
      <c r="H43" s="132"/>
      <c r="I43" s="152" t="s">
        <v>286</v>
      </c>
      <c r="J43" s="146">
        <f t="shared" ref="J43" si="9">E43*F43</f>
        <v>0</v>
      </c>
      <c r="K43" s="147">
        <f t="shared" ref="K43" si="10">E43*F43</f>
        <v>0</v>
      </c>
      <c r="L43" s="148">
        <f t="shared" ref="L43" si="11">IF($L$4=$J$4,J43,K43)</f>
        <v>0</v>
      </c>
      <c r="N43" s="142" t="s">
        <v>275</v>
      </c>
    </row>
    <row r="44" spans="2:15" x14ac:dyDescent="0.3">
      <c r="B44" s="365" t="s">
        <v>287</v>
      </c>
      <c r="C44" s="308" t="str">
        <f>'1.Úvodní parametry'!$D$26</f>
        <v>Hodina/rok</v>
      </c>
      <c r="D44" s="252">
        <v>1</v>
      </c>
      <c r="E44" s="303">
        <f>VLOOKUP(D44,'1.Úvodní parametry'!$D$43:$E$45,2,FALSE)</f>
        <v>608</v>
      </c>
      <c r="F44" s="374">
        <v>0</v>
      </c>
      <c r="G44" s="366"/>
      <c r="H44" s="132"/>
      <c r="I44" s="178" t="s">
        <v>286</v>
      </c>
      <c r="J44" s="146">
        <f t="shared" ref="J44:J45" si="12">E44*F44</f>
        <v>0</v>
      </c>
      <c r="K44" s="147">
        <f t="shared" ref="K44:K45" si="13">E44*F44</f>
        <v>0</v>
      </c>
      <c r="L44" s="148">
        <f t="shared" ref="L44:L47" si="14">IF($L$4=$J$4,J44,K44)</f>
        <v>0</v>
      </c>
      <c r="N44" s="142" t="s">
        <v>275</v>
      </c>
    </row>
    <row r="45" spans="2:15" x14ac:dyDescent="0.3">
      <c r="B45" s="378" t="s">
        <v>288</v>
      </c>
      <c r="C45" s="308" t="str">
        <f>'1.Úvodní parametry'!$D$26</f>
        <v>Hodina/rok</v>
      </c>
      <c r="D45" s="252">
        <v>3</v>
      </c>
      <c r="E45" s="303">
        <f>VLOOKUP(D45,'1.Úvodní parametry'!$D$43:$E$45,2,FALSE)</f>
        <v>709</v>
      </c>
      <c r="F45" s="374">
        <v>0</v>
      </c>
      <c r="G45" s="366"/>
      <c r="H45" s="132"/>
      <c r="I45" s="178" t="s">
        <v>286</v>
      </c>
      <c r="J45" s="146">
        <f t="shared" si="12"/>
        <v>0</v>
      </c>
      <c r="K45" s="147">
        <f t="shared" si="13"/>
        <v>0</v>
      </c>
      <c r="L45" s="148">
        <f t="shared" si="14"/>
        <v>0</v>
      </c>
      <c r="N45" s="142" t="s">
        <v>275</v>
      </c>
    </row>
    <row r="46" spans="2:15" x14ac:dyDescent="0.3">
      <c r="B46" s="378" t="s">
        <v>289</v>
      </c>
      <c r="C46" s="308" t="str">
        <f>'1.Úvodní parametry'!$D$24</f>
        <v>Kč/rok</v>
      </c>
      <c r="D46" s="367"/>
      <c r="E46" s="303"/>
      <c r="F46" s="379">
        <v>0</v>
      </c>
      <c r="G46" s="366" t="s">
        <v>290</v>
      </c>
      <c r="H46" s="132"/>
      <c r="I46" s="178" t="s">
        <v>291</v>
      </c>
      <c r="J46" s="146">
        <f>IF($J$4='1.Úvodní parametry'!$D$3,F46,F46/(1+$K$3))</f>
        <v>0</v>
      </c>
      <c r="K46" s="147">
        <f>IF($K$4='1.Úvodní parametry'!$D$3,F46,F46*(1+$K$3))</f>
        <v>0</v>
      </c>
      <c r="L46" s="148">
        <f t="shared" si="14"/>
        <v>0</v>
      </c>
      <c r="N46" s="142" t="s">
        <v>93</v>
      </c>
    </row>
    <row r="47" spans="2:15" x14ac:dyDescent="0.3">
      <c r="B47" s="378" t="s">
        <v>292</v>
      </c>
      <c r="C47" s="308" t="str">
        <f>'1.Úvodní parametry'!$D$24</f>
        <v>Kč/rok</v>
      </c>
      <c r="D47" s="367"/>
      <c r="E47" s="303"/>
      <c r="F47" s="71">
        <v>0</v>
      </c>
      <c r="G47" s="366" t="s">
        <v>293</v>
      </c>
      <c r="H47" s="132"/>
      <c r="I47" s="190" t="s">
        <v>294</v>
      </c>
      <c r="J47" s="146">
        <f>IF($J$4='1.Úvodní parametry'!$D$3,F47,F47/(1+$K$3))</f>
        <v>0</v>
      </c>
      <c r="K47" s="147">
        <f>IF($K$4='1.Úvodní parametry'!$D$3,F47,F47*(1+$K$3))</f>
        <v>0</v>
      </c>
      <c r="L47" s="148">
        <f t="shared" si="14"/>
        <v>0</v>
      </c>
      <c r="N47" s="142" t="s">
        <v>93</v>
      </c>
    </row>
    <row r="48" spans="2:15" x14ac:dyDescent="0.3">
      <c r="B48" s="380" t="s">
        <v>295</v>
      </c>
      <c r="C48" s="381" t="str">
        <f>JenotkaMěny</f>
        <v>Kč</v>
      </c>
      <c r="D48" s="381"/>
      <c r="E48" s="381"/>
      <c r="F48" s="481">
        <f>$E43*F43+$E44*F44+$E45*F45</f>
        <v>0</v>
      </c>
      <c r="G48" s="381" t="s">
        <v>296</v>
      </c>
      <c r="H48" s="132"/>
      <c r="I48" s="197" t="s">
        <v>297</v>
      </c>
      <c r="J48" s="530">
        <f>SUM(J43:J45)</f>
        <v>0</v>
      </c>
      <c r="K48" s="531">
        <f>SUM(K43:K45)</f>
        <v>0</v>
      </c>
      <c r="L48" s="532">
        <f>SUM(L43:L45)</f>
        <v>0</v>
      </c>
      <c r="N48" s="142" t="s">
        <v>93</v>
      </c>
    </row>
    <row r="49" spans="2:14" ht="15" thickBot="1" x14ac:dyDescent="0.35">
      <c r="B49" s="382" t="s">
        <v>298</v>
      </c>
      <c r="C49" s="383" t="str">
        <f>JenotkaMěny</f>
        <v>Kč</v>
      </c>
      <c r="D49" s="383"/>
      <c r="E49" s="383"/>
      <c r="F49" s="542">
        <f>IF($J$14='1.Úvodní parametry'!$D$3,'3. Vstupní data cloud'!J49,'3. Vstupní data cloud'!K49)</f>
        <v>0</v>
      </c>
      <c r="G49" s="383" t="s">
        <v>299</v>
      </c>
      <c r="H49" s="132"/>
      <c r="I49" s="153" t="s">
        <v>297</v>
      </c>
      <c r="J49" s="526">
        <f>SUM(J43:J47)</f>
        <v>0</v>
      </c>
      <c r="K49" s="527">
        <f>SUM(K43:K47)</f>
        <v>0</v>
      </c>
      <c r="L49" s="528">
        <f>SUM(L43:L47)</f>
        <v>0</v>
      </c>
      <c r="N49" s="142" t="s">
        <v>93</v>
      </c>
    </row>
    <row r="50" spans="2:14" ht="15.6" thickTop="1" thickBot="1" x14ac:dyDescent="0.35">
      <c r="B50" s="375"/>
      <c r="C50" s="376"/>
      <c r="D50" s="376"/>
      <c r="E50" s="376"/>
      <c r="F50" s="377"/>
      <c r="G50" s="376"/>
      <c r="N50" s="142" t="s">
        <v>93</v>
      </c>
    </row>
    <row r="51" spans="2:14" ht="15" thickBot="1" x14ac:dyDescent="0.35">
      <c r="B51" s="264" t="s">
        <v>692</v>
      </c>
      <c r="C51" s="265"/>
      <c r="D51" s="265"/>
      <c r="E51" s="265"/>
      <c r="F51" s="266"/>
      <c r="G51" s="267"/>
      <c r="M51" s="525"/>
      <c r="N51" s="142" t="s">
        <v>93</v>
      </c>
    </row>
    <row r="52" spans="2:14" ht="24" customHeight="1" x14ac:dyDescent="0.3">
      <c r="B52" s="268" t="s">
        <v>132</v>
      </c>
      <c r="C52" s="268" t="s">
        <v>30</v>
      </c>
      <c r="D52" s="269" t="s">
        <v>9</v>
      </c>
      <c r="E52" s="268"/>
      <c r="F52" s="270" t="s">
        <v>42</v>
      </c>
      <c r="G52" s="271" t="s">
        <v>19</v>
      </c>
      <c r="J52" s="143" t="s">
        <v>3</v>
      </c>
      <c r="K52" s="144" t="s">
        <v>43</v>
      </c>
      <c r="L52" s="145" t="str">
        <f>'4. Kalkulace TCO a Porovnání'!$J$5</f>
        <v>v Kč včetně DPH</v>
      </c>
      <c r="N52" s="142" t="s">
        <v>93</v>
      </c>
    </row>
    <row r="53" spans="2:14" x14ac:dyDescent="0.3">
      <c r="B53" s="272" t="s">
        <v>448</v>
      </c>
      <c r="C53" s="263" t="str">
        <f>JenotkaMěny</f>
        <v>Kč</v>
      </c>
      <c r="D53" s="238" t="str">
        <f>'1.Úvodní parametry'!$D$10</f>
        <v>NE</v>
      </c>
      <c r="E53" s="263"/>
      <c r="F53" s="253">
        <v>0</v>
      </c>
      <c r="G53" s="366" t="s">
        <v>449</v>
      </c>
      <c r="I53" s="521" t="s">
        <v>450</v>
      </c>
      <c r="J53" s="146">
        <f>IF($J$4='1.Úvodní parametry'!$D$3,F53,F53/(1+$K$3))</f>
        <v>0</v>
      </c>
      <c r="K53" s="147">
        <f>IF($K$4='1.Úvodní parametry'!$D$3,F53,F53*(1+$K$3))</f>
        <v>0</v>
      </c>
      <c r="L53" s="148">
        <f t="shared" ref="L53:L54" si="15">IF($L$4=$J$4,J53,K53)</f>
        <v>0</v>
      </c>
      <c r="N53" s="142" t="s">
        <v>93</v>
      </c>
    </row>
    <row r="54" spans="2:14" ht="15" thickBot="1" x14ac:dyDescent="0.35">
      <c r="B54" s="494" t="s">
        <v>451</v>
      </c>
      <c r="C54" s="495" t="str">
        <f>'1.Úvodní parametry'!$D$24</f>
        <v>Kč/rok</v>
      </c>
      <c r="D54" s="495"/>
      <c r="E54" s="495"/>
      <c r="F54" s="496">
        <v>0</v>
      </c>
      <c r="G54" s="497" t="s">
        <v>452</v>
      </c>
      <c r="I54" s="521" t="s">
        <v>453</v>
      </c>
      <c r="J54" s="146">
        <f>IF($J$4='1.Úvodní parametry'!$D$3,F54,F54/(1+$K$3))</f>
        <v>0</v>
      </c>
      <c r="K54" s="147">
        <f>IF($K$4='1.Úvodní parametry'!$D$3,F54,F54*(1+$K$3))</f>
        <v>0</v>
      </c>
      <c r="L54" s="148">
        <f t="shared" si="15"/>
        <v>0</v>
      </c>
      <c r="N54" s="142" t="s">
        <v>93</v>
      </c>
    </row>
    <row r="55" spans="2:14" ht="25.2" customHeight="1" thickTop="1" x14ac:dyDescent="0.3">
      <c r="B55" s="268" t="s">
        <v>688</v>
      </c>
      <c r="C55" s="268" t="s">
        <v>30</v>
      </c>
      <c r="D55" s="269" t="s">
        <v>9</v>
      </c>
      <c r="E55" s="268"/>
      <c r="F55" s="270" t="s">
        <v>42</v>
      </c>
      <c r="G55" s="271" t="s">
        <v>19</v>
      </c>
      <c r="I55" s="521"/>
      <c r="J55" s="146"/>
      <c r="K55" s="147"/>
      <c r="L55" s="148"/>
      <c r="N55" s="142" t="s">
        <v>93</v>
      </c>
    </row>
    <row r="56" spans="2:14" x14ac:dyDescent="0.3">
      <c r="B56" s="498" t="s">
        <v>689</v>
      </c>
      <c r="C56" s="263" t="str">
        <f>JenotkaMěny</f>
        <v>Kč</v>
      </c>
      <c r="D56" s="238" t="str">
        <f>'1.Úvodní parametry'!$D$10</f>
        <v>NE</v>
      </c>
      <c r="E56" s="263"/>
      <c r="F56" s="253">
        <v>0</v>
      </c>
      <c r="G56" s="366" t="s">
        <v>697</v>
      </c>
      <c r="I56" s="521" t="s">
        <v>134</v>
      </c>
      <c r="J56" s="146">
        <f>IF($J$4='1.Úvodní parametry'!$D$3,F56,F56/(1+$K$3))</f>
        <v>0</v>
      </c>
      <c r="K56" s="147">
        <f>IF($K$4='1.Úvodní parametry'!$D$3,F56,F56*(1+$K$3))</f>
        <v>0</v>
      </c>
      <c r="L56" s="148">
        <f t="shared" ref="L56:L57" si="16">IF($L$4=$J$4,J56,K56)</f>
        <v>0</v>
      </c>
      <c r="N56" s="142" t="s">
        <v>93</v>
      </c>
    </row>
    <row r="57" spans="2:14" ht="15" thickBot="1" x14ac:dyDescent="0.35">
      <c r="B57" s="495" t="s">
        <v>690</v>
      </c>
      <c r="C57" s="495" t="str">
        <f>'1.Úvodní parametry'!$D$24</f>
        <v>Kč/rok</v>
      </c>
      <c r="D57" s="495"/>
      <c r="E57" s="495"/>
      <c r="F57" s="496">
        <v>0</v>
      </c>
      <c r="G57" s="497" t="s">
        <v>691</v>
      </c>
      <c r="I57" s="521" t="s">
        <v>128</v>
      </c>
      <c r="J57" s="146">
        <f>IF($J$4='1.Úvodní parametry'!$D$3,F57,F57/(1+$K$3))</f>
        <v>0</v>
      </c>
      <c r="K57" s="147">
        <f>IF($K$4='1.Úvodní parametry'!$D$3,F57,F57*(1+$K$3))</f>
        <v>0</v>
      </c>
      <c r="L57" s="148">
        <f t="shared" si="16"/>
        <v>0</v>
      </c>
      <c r="N57" s="142" t="s">
        <v>93</v>
      </c>
    </row>
    <row r="58" spans="2:14" ht="22.8" customHeight="1" thickTop="1" x14ac:dyDescent="0.3">
      <c r="B58" s="268" t="s">
        <v>696</v>
      </c>
      <c r="C58" s="268" t="s">
        <v>30</v>
      </c>
      <c r="D58" s="269" t="s">
        <v>9</v>
      </c>
      <c r="E58" s="268"/>
      <c r="F58" s="270" t="s">
        <v>42</v>
      </c>
      <c r="G58" s="271" t="s">
        <v>19</v>
      </c>
      <c r="I58" s="521"/>
      <c r="J58" s="146"/>
      <c r="K58" s="147"/>
      <c r="L58" s="148"/>
      <c r="N58" s="142" t="s">
        <v>93</v>
      </c>
    </row>
    <row r="59" spans="2:14" x14ac:dyDescent="0.3">
      <c r="B59" s="498" t="s">
        <v>693</v>
      </c>
      <c r="C59" s="263" t="str">
        <f>JenotkaMěny</f>
        <v>Kč</v>
      </c>
      <c r="D59" s="238" t="str">
        <f>'1.Úvodní parametry'!$D$10</f>
        <v>NE</v>
      </c>
      <c r="E59" s="263"/>
      <c r="F59" s="253">
        <v>0</v>
      </c>
      <c r="G59" s="366" t="s">
        <v>694</v>
      </c>
      <c r="I59" s="521" t="s">
        <v>134</v>
      </c>
      <c r="J59" s="146">
        <f>IF($J$4='1.Úvodní parametry'!$D$3,F59,F59/(1+$K$3))</f>
        <v>0</v>
      </c>
      <c r="K59" s="147">
        <f>IF($K$4='1.Úvodní parametry'!$D$3,F59,F59*(1+$K$3))</f>
        <v>0</v>
      </c>
      <c r="L59" s="148">
        <f t="shared" ref="L59:L60" si="17">IF($L$4=$J$4,J59,K59)</f>
        <v>0</v>
      </c>
      <c r="N59" s="142" t="s">
        <v>93</v>
      </c>
    </row>
    <row r="60" spans="2:14" ht="15" thickBot="1" x14ac:dyDescent="0.35">
      <c r="B60" s="495" t="s">
        <v>695</v>
      </c>
      <c r="C60" s="495" t="str">
        <f>'1.Úvodní parametry'!$D$24</f>
        <v>Kč/rok</v>
      </c>
      <c r="D60" s="495"/>
      <c r="E60" s="495"/>
      <c r="F60" s="496">
        <v>0</v>
      </c>
      <c r="G60" s="497" t="s">
        <v>691</v>
      </c>
      <c r="I60" s="521" t="s">
        <v>557</v>
      </c>
      <c r="J60" s="146">
        <f>IF($J$4='1.Úvodní parametry'!$D$3,F60,F60/(1+$K$3))</f>
        <v>0</v>
      </c>
      <c r="K60" s="147">
        <f>IF($K$4='1.Úvodní parametry'!$D$3,F60,F60*(1+$K$3))</f>
        <v>0</v>
      </c>
      <c r="L60" s="148">
        <f t="shared" si="17"/>
        <v>0</v>
      </c>
      <c r="N60" s="142" t="s">
        <v>93</v>
      </c>
    </row>
    <row r="61" spans="2:14" ht="15" thickTop="1" x14ac:dyDescent="0.3">
      <c r="B61" s="375"/>
      <c r="C61" s="376"/>
      <c r="D61" s="376"/>
      <c r="E61" s="376"/>
      <c r="F61" s="376"/>
      <c r="G61" s="376"/>
      <c r="N61" s="142" t="s">
        <v>93</v>
      </c>
    </row>
    <row r="62" spans="2:14" ht="43.95" customHeight="1" x14ac:dyDescent="0.3">
      <c r="B62" s="271" t="s">
        <v>137</v>
      </c>
      <c r="C62" s="268" t="s">
        <v>30</v>
      </c>
      <c r="D62" s="282" t="s">
        <v>124</v>
      </c>
      <c r="E62" s="297"/>
      <c r="F62" s="270" t="s">
        <v>42</v>
      </c>
      <c r="G62" s="271" t="s">
        <v>19</v>
      </c>
      <c r="J62" s="143" t="s">
        <v>3</v>
      </c>
      <c r="K62" s="144" t="s">
        <v>43</v>
      </c>
      <c r="L62" s="145" t="str">
        <f>'4. Kalkulace TCO a Porovnání'!$J$5</f>
        <v>v Kč včetně DPH</v>
      </c>
      <c r="N62" s="142" t="s">
        <v>93</v>
      </c>
    </row>
    <row r="63" spans="2:14" x14ac:dyDescent="0.3">
      <c r="B63" s="298" t="s">
        <v>138</v>
      </c>
      <c r="C63" s="499" t="str">
        <f>JenotkaMěny</f>
        <v>Kč</v>
      </c>
      <c r="D63" s="242" t="str">
        <f>'1.Úvodní parametry'!$D$10</f>
        <v>NE</v>
      </c>
      <c r="E63" s="299"/>
      <c r="F63" s="250">
        <v>0</v>
      </c>
      <c r="G63" s="300"/>
      <c r="I63" s="521" t="s">
        <v>139</v>
      </c>
      <c r="J63" s="146">
        <f>IF($J$4='1.Úvodní parametry'!$D$3,F63,F63/(1+$K$3))</f>
        <v>0</v>
      </c>
      <c r="K63" s="147">
        <f>IF($K$4='1.Úvodní parametry'!$D$3,F63,F63*(1+$K$3))</f>
        <v>0</v>
      </c>
      <c r="L63" s="148">
        <f t="shared" ref="L63" si="18">IF($L$4=$J$4,J63,K63)</f>
        <v>0</v>
      </c>
      <c r="N63" s="142" t="s">
        <v>93</v>
      </c>
    </row>
    <row r="64" spans="2:14" x14ac:dyDescent="0.3">
      <c r="B64" s="301" t="s">
        <v>140</v>
      </c>
      <c r="C64" s="302" t="str">
        <f>'1.Úvodní parametry'!$D$34</f>
        <v>Hodina</v>
      </c>
      <c r="D64" s="252">
        <v>2</v>
      </c>
      <c r="E64" s="303">
        <f>VLOOKUP(D64,'1.Úvodní parametry'!$D$43:$E$45,2,FALSE)</f>
        <v>657</v>
      </c>
      <c r="F64" s="251">
        <v>0</v>
      </c>
      <c r="G64" s="304"/>
      <c r="I64" s="521" t="s">
        <v>454</v>
      </c>
      <c r="J64" s="146"/>
      <c r="K64" s="147"/>
      <c r="L64" s="148"/>
      <c r="N64" s="142" t="s">
        <v>142</v>
      </c>
    </row>
    <row r="65" spans="2:14" ht="15" thickBot="1" x14ac:dyDescent="0.35">
      <c r="B65" s="308" t="s">
        <v>143</v>
      </c>
      <c r="C65" s="499" t="str">
        <f>JenotkaMěny</f>
        <v>Kč</v>
      </c>
      <c r="D65" s="238" t="str">
        <f>'1.Úvodní parametry'!$D$10</f>
        <v>NE</v>
      </c>
      <c r="E65" s="303"/>
      <c r="F65" s="100">
        <f>E64*F64</f>
        <v>0</v>
      </c>
      <c r="G65" s="304"/>
      <c r="I65" s="521" t="s">
        <v>144</v>
      </c>
      <c r="J65" s="146">
        <f>IF($J$4='1.Úvodní parametry'!$D$3,F65,F65/(1+$K$3))</f>
        <v>0</v>
      </c>
      <c r="K65" s="147">
        <f>IF($K$4='1.Úvodní parametry'!$D$3,F65,F65*(1+$K$3))</f>
        <v>0</v>
      </c>
      <c r="L65" s="148">
        <f t="shared" ref="L65:L66" si="19">IF($L$4=$J$4,J65,K65)</f>
        <v>0</v>
      </c>
      <c r="N65" s="142" t="s">
        <v>93</v>
      </c>
    </row>
    <row r="66" spans="2:14" ht="15.6" thickTop="1" thickBot="1" x14ac:dyDescent="0.35">
      <c r="B66" s="348" t="s">
        <v>455</v>
      </c>
      <c r="C66" s="348" t="str">
        <f>'1.Úvodní parametry'!$D$24</f>
        <v>Kč/rok</v>
      </c>
      <c r="D66" s="543"/>
      <c r="E66" s="349"/>
      <c r="F66" s="500">
        <v>0</v>
      </c>
      <c r="G66" s="351"/>
      <c r="H66" s="132"/>
      <c r="I66" s="152" t="s">
        <v>456</v>
      </c>
      <c r="J66" s="522">
        <f>IF($J$4='1.Úvodní parametry'!$D$3,F66,F66/(1+$K$3))</f>
        <v>0</v>
      </c>
      <c r="K66" s="523">
        <f>IF($K$4='1.Úvodní parametry'!$D$3,F66,F66*(1+$K$3))</f>
        <v>0</v>
      </c>
      <c r="L66" s="524">
        <f t="shared" si="19"/>
        <v>0</v>
      </c>
      <c r="N66" s="142" t="s">
        <v>93</v>
      </c>
    </row>
    <row r="67" spans="2:14" ht="15.6" thickTop="1" thickBot="1" x14ac:dyDescent="0.35">
      <c r="B67" s="375"/>
      <c r="C67" s="376"/>
      <c r="D67" s="376"/>
      <c r="E67" s="376"/>
      <c r="F67" s="376"/>
      <c r="G67" s="376"/>
      <c r="N67" s="142" t="s">
        <v>93</v>
      </c>
    </row>
    <row r="68" spans="2:14" ht="15" thickBot="1" x14ac:dyDescent="0.35">
      <c r="B68" s="264" t="s">
        <v>457</v>
      </c>
      <c r="C68" s="265"/>
      <c r="D68" s="265"/>
      <c r="E68" s="265"/>
      <c r="F68" s="266"/>
      <c r="G68" s="267"/>
      <c r="J68" s="143" t="s">
        <v>3</v>
      </c>
      <c r="K68" s="144" t="s">
        <v>43</v>
      </c>
      <c r="L68" s="145" t="str">
        <f>'4. Kalkulace TCO a Porovnání'!$J$5</f>
        <v>v Kč včetně DPH</v>
      </c>
      <c r="N68" s="142" t="s">
        <v>93</v>
      </c>
    </row>
    <row r="69" spans="2:14" ht="19.95" customHeight="1" thickBot="1" x14ac:dyDescent="0.35">
      <c r="B69" s="501" t="s">
        <v>458</v>
      </c>
      <c r="C69" s="348" t="str">
        <f>'1.Úvodní parametry'!$D$24</f>
        <v>Kč/rok</v>
      </c>
      <c r="D69" s="502"/>
      <c r="E69" s="502"/>
      <c r="F69" s="503">
        <v>0</v>
      </c>
      <c r="G69" s="504" t="s">
        <v>459</v>
      </c>
      <c r="I69" s="521" t="s">
        <v>186</v>
      </c>
      <c r="J69" s="146">
        <f>IF($J$4='1.Úvodní parametry'!$D$3,F69,F69/(1+$K$3))</f>
        <v>0</v>
      </c>
      <c r="K69" s="147">
        <f>IF($K$4='1.Úvodní parametry'!$D$3,F69,F69*(1+$K$3))</f>
        <v>0</v>
      </c>
      <c r="L69" s="148">
        <f t="shared" ref="L69" si="20">IF($L$4=$J$4,J69,K69)</f>
        <v>0</v>
      </c>
      <c r="N69" s="142" t="s">
        <v>93</v>
      </c>
    </row>
    <row r="70" spans="2:14" ht="15" thickTop="1" x14ac:dyDescent="0.3">
      <c r="B70" s="308"/>
      <c r="C70" s="309"/>
      <c r="D70" s="309"/>
      <c r="E70" s="309"/>
      <c r="F70" s="309"/>
      <c r="G70" s="340"/>
      <c r="N70" s="142" t="s">
        <v>93</v>
      </c>
    </row>
    <row r="71" spans="2:14" ht="23.25" customHeight="1" x14ac:dyDescent="0.3">
      <c r="B71" s="281" t="s">
        <v>206</v>
      </c>
      <c r="C71" s="281" t="s">
        <v>30</v>
      </c>
      <c r="D71" s="282" t="s">
        <v>9</v>
      </c>
      <c r="E71" s="282"/>
      <c r="F71" s="270" t="s">
        <v>42</v>
      </c>
      <c r="G71" s="283" t="s">
        <v>19</v>
      </c>
      <c r="J71" s="143" t="s">
        <v>3</v>
      </c>
      <c r="K71" s="144" t="s">
        <v>43</v>
      </c>
      <c r="L71" s="145" t="str">
        <f>'4. Kalkulace TCO a Porovnání'!$J$5</f>
        <v>v Kč včetně DPH</v>
      </c>
      <c r="N71" s="142" t="s">
        <v>93</v>
      </c>
    </row>
    <row r="72" spans="2:14" x14ac:dyDescent="0.3">
      <c r="B72" s="308" t="s">
        <v>206</v>
      </c>
      <c r="C72" s="308" t="str">
        <f>JenotkaMěny</f>
        <v>Kč</v>
      </c>
      <c r="D72" s="238" t="str">
        <f>'1.Úvodní parametry'!$D$10</f>
        <v>NE</v>
      </c>
      <c r="E72" s="346"/>
      <c r="F72" s="339">
        <v>0</v>
      </c>
      <c r="G72" s="304"/>
      <c r="I72" s="152" t="s">
        <v>207</v>
      </c>
      <c r="J72" s="146">
        <f>IF($J$4='1.Úvodní parametry'!$D$3,F72,F72/(1+$K$3))</f>
        <v>0</v>
      </c>
      <c r="K72" s="147">
        <f>IF($K$4='1.Úvodní parametry'!$D$3,F72,F72*(1+$K$3))</f>
        <v>0</v>
      </c>
      <c r="L72" s="148">
        <f t="shared" ref="L72:L73" si="21">IF($L$4=$J$4,J72,K72)</f>
        <v>0</v>
      </c>
      <c r="N72" s="142" t="s">
        <v>93</v>
      </c>
    </row>
    <row r="73" spans="2:14" x14ac:dyDescent="0.3">
      <c r="B73" s="298" t="s">
        <v>208</v>
      </c>
      <c r="C73" s="298" t="str">
        <f>JenotkaMěny</f>
        <v>Kč</v>
      </c>
      <c r="D73" s="242" t="str">
        <f>'1.Úvodní parametry'!$D$10</f>
        <v>NE</v>
      </c>
      <c r="E73" s="505"/>
      <c r="F73" s="506">
        <v>0</v>
      </c>
      <c r="G73" s="300"/>
      <c r="I73" s="152" t="s">
        <v>209</v>
      </c>
      <c r="J73" s="146">
        <f>IF($J$4='1.Úvodní parametry'!$D$3,F73,F73/(1+$K$3))</f>
        <v>0</v>
      </c>
      <c r="K73" s="147">
        <f>IF($K$4='1.Úvodní parametry'!$D$3,F73,F73*(1+$K$3))</f>
        <v>0</v>
      </c>
      <c r="L73" s="148">
        <f t="shared" si="21"/>
        <v>0</v>
      </c>
      <c r="N73" s="142" t="s">
        <v>93</v>
      </c>
    </row>
    <row r="74" spans="2:14" ht="15" thickBot="1" x14ac:dyDescent="0.35">
      <c r="B74" s="305" t="s">
        <v>210</v>
      </c>
      <c r="C74" s="348" t="str">
        <f>'1.Úvodní parametry'!$D$24</f>
        <v>Kč/rok</v>
      </c>
      <c r="D74" s="507"/>
      <c r="E74" s="507"/>
      <c r="F74" s="508">
        <v>0</v>
      </c>
      <c r="G74" s="509" t="s">
        <v>211</v>
      </c>
      <c r="H74" s="132"/>
      <c r="I74" s="152" t="s">
        <v>212</v>
      </c>
      <c r="J74" s="146">
        <f>IF($J$4='1.Úvodní parametry'!$D$3,F74,F74/(1+$K$3))</f>
        <v>0</v>
      </c>
      <c r="K74" s="147">
        <f>IF($K$4='1.Úvodní parametry'!$D$3,F74,F74*(1+$K$3))</f>
        <v>0</v>
      </c>
      <c r="L74" s="148">
        <f t="shared" ref="L74" si="22">IF($L$4=$J$4,J74,K74)</f>
        <v>0</v>
      </c>
      <c r="N74" s="142" t="s">
        <v>93</v>
      </c>
    </row>
    <row r="75" spans="2:14" ht="15" thickTop="1" x14ac:dyDescent="0.3">
      <c r="B75" s="308"/>
      <c r="C75" s="309"/>
      <c r="D75" s="309"/>
      <c r="E75" s="309"/>
      <c r="F75" s="309"/>
      <c r="G75" s="340"/>
      <c r="N75" s="142" t="s">
        <v>93</v>
      </c>
    </row>
    <row r="76" spans="2:14" ht="15.6" x14ac:dyDescent="0.3">
      <c r="B76" s="260" t="s">
        <v>300</v>
      </c>
      <c r="F76" s="465"/>
      <c r="G76" s="257"/>
      <c r="N76" s="142" t="s">
        <v>93</v>
      </c>
    </row>
    <row r="77" spans="2:14" ht="3.6" customHeight="1" thickBot="1" x14ac:dyDescent="0.35">
      <c r="F77" s="465"/>
      <c r="G77" s="257"/>
      <c r="N77" s="142" t="s">
        <v>93</v>
      </c>
    </row>
    <row r="78" spans="2:14" ht="15" thickBot="1" x14ac:dyDescent="0.35">
      <c r="B78" s="264" t="s">
        <v>460</v>
      </c>
      <c r="C78" s="265"/>
      <c r="D78" s="265"/>
      <c r="E78" s="265"/>
      <c r="F78" s="266"/>
      <c r="G78" s="267"/>
      <c r="N78" s="142" t="s">
        <v>93</v>
      </c>
    </row>
    <row r="79" spans="2:14" x14ac:dyDescent="0.3">
      <c r="B79" s="268" t="s">
        <v>304</v>
      </c>
      <c r="C79" s="268" t="s">
        <v>30</v>
      </c>
      <c r="D79" s="364" t="s">
        <v>239</v>
      </c>
      <c r="E79" s="297" t="s">
        <v>240</v>
      </c>
      <c r="F79" s="270" t="s">
        <v>42</v>
      </c>
      <c r="G79" s="271" t="s">
        <v>19</v>
      </c>
      <c r="J79" s="143" t="s">
        <v>3</v>
      </c>
      <c r="K79" s="144" t="s">
        <v>43</v>
      </c>
      <c r="L79" s="145" t="str">
        <f>'4. Kalkulace TCO a Porovnání'!$J$5</f>
        <v>v Kč včetně DPH</v>
      </c>
      <c r="N79" s="142" t="s">
        <v>93</v>
      </c>
    </row>
    <row r="80" spans="2:14" x14ac:dyDescent="0.3">
      <c r="B80" s="308" t="s">
        <v>305</v>
      </c>
      <c r="C80" s="302" t="str">
        <f>'1.Úvodní parametry'!$D$34</f>
        <v>Hodina</v>
      </c>
      <c r="D80" s="252">
        <v>2</v>
      </c>
      <c r="E80" s="303">
        <f>IF(D80=1,HodinovaSazbaIT,IF(D80=2,HodinSazbaIT2,IF(D80=3,HodinSazbaIT3)))</f>
        <v>657</v>
      </c>
      <c r="F80" s="251">
        <v>0</v>
      </c>
      <c r="G80" s="304"/>
      <c r="I80" s="521" t="s">
        <v>306</v>
      </c>
      <c r="J80" s="146">
        <f>E80*F80</f>
        <v>0</v>
      </c>
      <c r="K80" s="147">
        <f>E80*F80</f>
        <v>0</v>
      </c>
      <c r="L80" s="148">
        <f t="shared" ref="L80" si="23">IF($L$4=$J$4,J80,K80)</f>
        <v>0</v>
      </c>
      <c r="N80" s="142" t="s">
        <v>142</v>
      </c>
    </row>
    <row r="81" spans="2:14" x14ac:dyDescent="0.3">
      <c r="B81" s="308" t="s">
        <v>308</v>
      </c>
      <c r="C81" s="308" t="str">
        <f>JenotkaMěny</f>
        <v>Kč</v>
      </c>
      <c r="D81" s="367"/>
      <c r="E81" s="303"/>
      <c r="F81" s="253">
        <v>0</v>
      </c>
      <c r="G81" s="304"/>
      <c r="I81" s="521" t="s">
        <v>306</v>
      </c>
      <c r="J81" s="146">
        <f>IF($J$4='1.Úvodní parametry'!$D$3,F81,F81/(1+$K$3))</f>
        <v>0</v>
      </c>
      <c r="K81" s="147">
        <f>IF($K$4='1.Úvodní parametry'!$D$3,F81,F81*(1+$K$3))</f>
        <v>0</v>
      </c>
      <c r="L81" s="148">
        <f t="shared" ref="L81:L83" si="24">IF($L$4=$J$4,J81,K81)</f>
        <v>0</v>
      </c>
      <c r="N81" s="142" t="s">
        <v>93</v>
      </c>
    </row>
    <row r="82" spans="2:14" x14ac:dyDescent="0.3">
      <c r="B82" s="308" t="s">
        <v>309</v>
      </c>
      <c r="C82" s="302" t="str">
        <f>'1.Úvodní parametry'!$D$34</f>
        <v>Hodina</v>
      </c>
      <c r="D82" s="252">
        <v>1</v>
      </c>
      <c r="E82" s="303">
        <f>IF(D82=1,HodinovaSazbaIT,IF(D82=2,HodinSazbaIT2,IF(D82=3,HodinSazbaIT3)))</f>
        <v>608</v>
      </c>
      <c r="F82" s="251">
        <v>0</v>
      </c>
      <c r="G82" s="304"/>
      <c r="I82" s="521" t="s">
        <v>310</v>
      </c>
      <c r="J82" s="146">
        <f>E82*F82</f>
        <v>0</v>
      </c>
      <c r="K82" s="147">
        <f>E82*F82</f>
        <v>0</v>
      </c>
      <c r="L82" s="148">
        <f t="shared" si="24"/>
        <v>0</v>
      </c>
      <c r="N82" s="142" t="s">
        <v>142</v>
      </c>
    </row>
    <row r="83" spans="2:14" x14ac:dyDescent="0.3">
      <c r="B83" s="385" t="s">
        <v>311</v>
      </c>
      <c r="C83" s="308" t="str">
        <f>JenotkaMěny</f>
        <v>Kč</v>
      </c>
      <c r="D83" s="367"/>
      <c r="E83" s="303"/>
      <c r="F83" s="339">
        <v>0</v>
      </c>
      <c r="G83" s="366"/>
      <c r="I83" s="521" t="s">
        <v>310</v>
      </c>
      <c r="J83" s="146">
        <f>IF($J$4='1.Úvodní parametry'!$D$3,F83,F83/(1+$K$3))</f>
        <v>0</v>
      </c>
      <c r="K83" s="147">
        <f>IF($K$4='1.Úvodní parametry'!$D$3,F83,F83*(1+$K$3))</f>
        <v>0</v>
      </c>
      <c r="L83" s="148">
        <f t="shared" si="24"/>
        <v>0</v>
      </c>
      <c r="N83" s="142" t="s">
        <v>93</v>
      </c>
    </row>
    <row r="84" spans="2:14" ht="15" thickBot="1" x14ac:dyDescent="0.35">
      <c r="B84" s="394" t="s">
        <v>461</v>
      </c>
      <c r="C84" s="394" t="str">
        <f>JenotkaMěny</f>
        <v>Kč</v>
      </c>
      <c r="D84" s="395"/>
      <c r="E84" s="395"/>
      <c r="F84" s="542">
        <f>IF($J$14='1.Úvodní parametry'!$D$3,'3. Vstupní data cloud'!J84,'3. Vstupní data cloud'!K84)</f>
        <v>0</v>
      </c>
      <c r="G84" s="395" t="s">
        <v>313</v>
      </c>
      <c r="J84" s="533">
        <f>SUM(J80:J83)</f>
        <v>0</v>
      </c>
      <c r="K84" s="534">
        <f>SUM(K80:K83)</f>
        <v>0</v>
      </c>
      <c r="L84" s="535">
        <f>SUM(L80:L83)</f>
        <v>0</v>
      </c>
      <c r="N84" s="142" t="s">
        <v>93</v>
      </c>
    </row>
    <row r="85" spans="2:14" ht="19.8" thickTop="1" x14ac:dyDescent="0.3">
      <c r="B85" s="268" t="s">
        <v>462</v>
      </c>
      <c r="C85" s="268" t="s">
        <v>30</v>
      </c>
      <c r="D85" s="269" t="s">
        <v>9</v>
      </c>
      <c r="E85" s="297"/>
      <c r="F85" s="270" t="s">
        <v>42</v>
      </c>
      <c r="G85" s="285" t="s">
        <v>19</v>
      </c>
      <c r="N85" s="142" t="s">
        <v>93</v>
      </c>
    </row>
    <row r="86" spans="2:14" ht="21" thickBot="1" x14ac:dyDescent="0.35">
      <c r="B86" s="390" t="s">
        <v>314</v>
      </c>
      <c r="C86" s="391"/>
      <c r="D86" s="235" t="str">
        <f>'1.Úvodní parametry'!$D$10</f>
        <v>NE</v>
      </c>
      <c r="E86" s="391"/>
      <c r="F86" s="396"/>
      <c r="G86" s="392" t="s">
        <v>315</v>
      </c>
      <c r="N86" s="142" t="s">
        <v>93</v>
      </c>
    </row>
    <row r="87" spans="2:14" ht="16.2" thickTop="1" x14ac:dyDescent="0.3">
      <c r="B87" s="260"/>
      <c r="C87" s="302"/>
      <c r="D87" s="302"/>
      <c r="E87" s="302"/>
      <c r="F87" s="393"/>
      <c r="N87" s="142" t="s">
        <v>93</v>
      </c>
    </row>
    <row r="88" spans="2:14" x14ac:dyDescent="0.3">
      <c r="B88" s="271" t="s">
        <v>316</v>
      </c>
      <c r="C88" s="268" t="s">
        <v>30</v>
      </c>
      <c r="D88" s="364" t="s">
        <v>239</v>
      </c>
      <c r="E88" s="297" t="s">
        <v>240</v>
      </c>
      <c r="F88" s="270" t="s">
        <v>42</v>
      </c>
      <c r="G88" s="271" t="s">
        <v>19</v>
      </c>
      <c r="H88" s="132"/>
      <c r="I88" s="133"/>
      <c r="J88" s="143" t="s">
        <v>3</v>
      </c>
      <c r="K88" s="144" t="s">
        <v>43</v>
      </c>
      <c r="L88" s="145" t="str">
        <f>'4. Kalkulace TCO a Porovnání'!$J$5</f>
        <v>v Kč včetně DPH</v>
      </c>
      <c r="N88" s="142" t="s">
        <v>93</v>
      </c>
    </row>
    <row r="89" spans="2:14" x14ac:dyDescent="0.3">
      <c r="B89" s="308" t="s">
        <v>317</v>
      </c>
      <c r="C89" s="302" t="str">
        <f>'1.Úvodní parametry'!$D$34</f>
        <v>Hodina</v>
      </c>
      <c r="D89" s="252">
        <v>1</v>
      </c>
      <c r="E89" s="303">
        <f>VLOOKUP(D89,'1.Úvodní parametry'!$D$43:$E$45,2,FALSE)</f>
        <v>608</v>
      </c>
      <c r="F89" s="251">
        <v>0</v>
      </c>
      <c r="G89" s="304"/>
      <c r="H89" s="132"/>
      <c r="I89" s="152" t="s">
        <v>318</v>
      </c>
      <c r="J89" s="146">
        <f t="shared" ref="J89:J115" si="25">E89*F89</f>
        <v>0</v>
      </c>
      <c r="K89" s="147">
        <f t="shared" ref="K89:K115" si="26">E89*F89</f>
        <v>0</v>
      </c>
      <c r="L89" s="148">
        <f t="shared" ref="L89:L90" si="27">IF($L$4=$J$4,J89,K89)</f>
        <v>0</v>
      </c>
      <c r="N89" s="142" t="s">
        <v>142</v>
      </c>
    </row>
    <row r="90" spans="2:14" x14ac:dyDescent="0.3">
      <c r="B90" s="308" t="s">
        <v>317</v>
      </c>
      <c r="C90" s="308" t="str">
        <f>JenotkaMěny</f>
        <v>Kč</v>
      </c>
      <c r="D90" s="386"/>
      <c r="E90" s="487"/>
      <c r="F90" s="339">
        <v>0</v>
      </c>
      <c r="G90" s="304" t="s">
        <v>677</v>
      </c>
      <c r="H90" s="517"/>
      <c r="I90" s="152" t="s">
        <v>318</v>
      </c>
      <c r="J90" s="146">
        <f>IF($J$4='1.Úvodní parametry'!$D$3,F90,F90/(1+$K$3))</f>
        <v>0</v>
      </c>
      <c r="K90" s="147">
        <f>IF($K$4='1.Úvodní parametry'!$D$3,F90,F90*(1+$K$3))</f>
        <v>0</v>
      </c>
      <c r="L90" s="148">
        <f t="shared" si="27"/>
        <v>0</v>
      </c>
      <c r="N90" s="142" t="s">
        <v>93</v>
      </c>
    </row>
    <row r="91" spans="2:14" x14ac:dyDescent="0.3">
      <c r="B91" s="308" t="s">
        <v>322</v>
      </c>
      <c r="C91" s="302" t="str">
        <f>'1.Úvodní parametry'!$D$34</f>
        <v>Hodina</v>
      </c>
      <c r="D91" s="252">
        <v>2</v>
      </c>
      <c r="E91" s="303">
        <f>VLOOKUP(D91,'1.Úvodní parametry'!$D$43:$E$45,2,FALSE)</f>
        <v>657</v>
      </c>
      <c r="F91" s="251">
        <v>0</v>
      </c>
      <c r="G91" s="304"/>
      <c r="H91" s="132"/>
      <c r="I91" s="152" t="s">
        <v>323</v>
      </c>
      <c r="J91" s="146">
        <f>E91*F91</f>
        <v>0</v>
      </c>
      <c r="K91" s="147">
        <f>E91*F91</f>
        <v>0</v>
      </c>
      <c r="L91" s="148">
        <f>IF($L$4=$J$4,J91,K91)</f>
        <v>0</v>
      </c>
      <c r="N91" s="142" t="s">
        <v>142</v>
      </c>
    </row>
    <row r="92" spans="2:14" x14ac:dyDescent="0.3">
      <c r="B92" s="308" t="s">
        <v>322</v>
      </c>
      <c r="C92" s="308" t="str">
        <f>JenotkaMěny</f>
        <v>Kč</v>
      </c>
      <c r="D92" s="386"/>
      <c r="E92" s="303"/>
      <c r="F92" s="339">
        <v>0</v>
      </c>
      <c r="G92" s="304" t="s">
        <v>677</v>
      </c>
      <c r="H92" s="132"/>
      <c r="I92" s="152" t="s">
        <v>323</v>
      </c>
      <c r="J92" s="146">
        <f>IF($J$4='1.Úvodní parametry'!$D$3,F92,F92/(1+$K$3))</f>
        <v>0</v>
      </c>
      <c r="K92" s="147">
        <f>IF($K$4='1.Úvodní parametry'!$D$3,F92,F92*(1+$K$3))</f>
        <v>0</v>
      </c>
      <c r="L92" s="148">
        <f t="shared" ref="L92" si="28">IF($L$4=$J$4,J92,K92)</f>
        <v>0</v>
      </c>
      <c r="N92" s="142" t="s">
        <v>93</v>
      </c>
    </row>
    <row r="93" spans="2:14" x14ac:dyDescent="0.3">
      <c r="B93" s="308" t="s">
        <v>319</v>
      </c>
      <c r="C93" s="302" t="str">
        <f>'1.Úvodní parametry'!$D$34</f>
        <v>Hodina</v>
      </c>
      <c r="D93" s="252">
        <v>3</v>
      </c>
      <c r="E93" s="303">
        <f>VLOOKUP(D93,'1.Úvodní parametry'!$D$43:$E$45,2,FALSE)</f>
        <v>709</v>
      </c>
      <c r="F93" s="251">
        <v>0</v>
      </c>
      <c r="G93" s="304"/>
      <c r="H93" s="132"/>
      <c r="I93" s="152" t="s">
        <v>320</v>
      </c>
      <c r="J93" s="146">
        <f t="shared" si="25"/>
        <v>0</v>
      </c>
      <c r="K93" s="147">
        <f t="shared" si="26"/>
        <v>0</v>
      </c>
      <c r="L93" s="148">
        <f t="shared" ref="L93:L118" si="29">IF($L$4=$J$4,J93,K93)</f>
        <v>0</v>
      </c>
      <c r="N93" s="142" t="s">
        <v>142</v>
      </c>
    </row>
    <row r="94" spans="2:14" x14ac:dyDescent="0.3">
      <c r="B94" s="308" t="s">
        <v>319</v>
      </c>
      <c r="C94" s="308" t="str">
        <f>JenotkaMěny</f>
        <v>Kč</v>
      </c>
      <c r="D94" s="386"/>
      <c r="E94" s="303"/>
      <c r="F94" s="339">
        <v>0</v>
      </c>
      <c r="G94" s="304" t="s">
        <v>677</v>
      </c>
      <c r="H94" s="132"/>
      <c r="I94" s="152" t="s">
        <v>320</v>
      </c>
      <c r="J94" s="146">
        <f>IF($J$4='1.Úvodní parametry'!$D$3,F94,F94/(1+$K$3))</f>
        <v>0</v>
      </c>
      <c r="K94" s="147">
        <f>IF($K$4='1.Úvodní parametry'!$D$3,F94,F94*(1+$K$3))</f>
        <v>0</v>
      </c>
      <c r="L94" s="148">
        <f t="shared" ref="L94" si="30">IF($L$4=$J$4,J94,K94)</f>
        <v>0</v>
      </c>
      <c r="N94" s="142" t="s">
        <v>93</v>
      </c>
    </row>
    <row r="95" spans="2:14" x14ac:dyDescent="0.3">
      <c r="B95" s="308" t="s">
        <v>321</v>
      </c>
      <c r="C95" s="302" t="str">
        <f>'1.Úvodní parametry'!$D$34</f>
        <v>Hodina</v>
      </c>
      <c r="D95" s="252">
        <v>2</v>
      </c>
      <c r="E95" s="303">
        <f>VLOOKUP(D95,'1.Úvodní parametry'!$D$43:$E$45,2,FALSE)</f>
        <v>657</v>
      </c>
      <c r="F95" s="251">
        <v>0</v>
      </c>
      <c r="G95" s="304"/>
      <c r="H95" s="132"/>
      <c r="I95" s="152" t="s">
        <v>320</v>
      </c>
      <c r="J95" s="146">
        <f t="shared" si="25"/>
        <v>0</v>
      </c>
      <c r="K95" s="147">
        <f t="shared" si="26"/>
        <v>0</v>
      </c>
      <c r="L95" s="148">
        <f t="shared" si="29"/>
        <v>0</v>
      </c>
      <c r="N95" s="142" t="s">
        <v>142</v>
      </c>
    </row>
    <row r="96" spans="2:14" x14ac:dyDescent="0.3">
      <c r="B96" s="308" t="s">
        <v>321</v>
      </c>
      <c r="C96" s="308" t="str">
        <f>JenotkaMěny</f>
        <v>Kč</v>
      </c>
      <c r="D96" s="386"/>
      <c r="E96" s="487"/>
      <c r="F96" s="339">
        <v>0</v>
      </c>
      <c r="G96" s="304" t="s">
        <v>677</v>
      </c>
      <c r="H96" s="517"/>
      <c r="I96" s="152" t="s">
        <v>320</v>
      </c>
      <c r="J96" s="146">
        <f>IF($J$4='1.Úvodní parametry'!$D$3,F96,F96/(1+$K$3))</f>
        <v>0</v>
      </c>
      <c r="K96" s="147">
        <f>IF($K$4='1.Úvodní parametry'!$D$3,F96,F96*(1+$K$3))</f>
        <v>0</v>
      </c>
      <c r="L96" s="148">
        <f t="shared" ref="L96" si="31">IF($L$4=$J$4,J96,K96)</f>
        <v>0</v>
      </c>
      <c r="N96" s="142" t="s">
        <v>93</v>
      </c>
    </row>
    <row r="97" spans="2:14" x14ac:dyDescent="0.3">
      <c r="B97" s="308" t="s">
        <v>324</v>
      </c>
      <c r="C97" s="302" t="str">
        <f>'1.Úvodní parametry'!$D$34</f>
        <v>Hodina</v>
      </c>
      <c r="D97" s="252">
        <v>3</v>
      </c>
      <c r="E97" s="303">
        <f>VLOOKUP(D97,'1.Úvodní parametry'!$D$43:$E$45,2,FALSE)</f>
        <v>709</v>
      </c>
      <c r="F97" s="251">
        <v>0</v>
      </c>
      <c r="G97" s="304"/>
      <c r="H97" s="132"/>
      <c r="I97" s="152" t="s">
        <v>325</v>
      </c>
      <c r="J97" s="146">
        <f t="shared" si="25"/>
        <v>0</v>
      </c>
      <c r="K97" s="147">
        <f t="shared" si="26"/>
        <v>0</v>
      </c>
      <c r="L97" s="148">
        <f t="shared" si="29"/>
        <v>0</v>
      </c>
      <c r="N97" s="142" t="s">
        <v>142</v>
      </c>
    </row>
    <row r="98" spans="2:14" x14ac:dyDescent="0.3">
      <c r="B98" s="308" t="s">
        <v>324</v>
      </c>
      <c r="C98" s="308" t="str">
        <f>JenotkaMěny</f>
        <v>Kč</v>
      </c>
      <c r="D98" s="386"/>
      <c r="E98" s="303"/>
      <c r="F98" s="339">
        <v>0</v>
      </c>
      <c r="G98" s="304" t="s">
        <v>677</v>
      </c>
      <c r="H98" s="132"/>
      <c r="I98" s="152" t="s">
        <v>325</v>
      </c>
      <c r="J98" s="146">
        <f>IF($J$4='1.Úvodní parametry'!$D$3,F98,F98/(1+$K$3))</f>
        <v>0</v>
      </c>
      <c r="K98" s="147">
        <f>IF($K$4='1.Úvodní parametry'!$D$3,F98,F98*(1+$K$3))</f>
        <v>0</v>
      </c>
      <c r="L98" s="148">
        <f t="shared" ref="L98" si="32">IF($L$4=$J$4,J98,K98)</f>
        <v>0</v>
      </c>
      <c r="N98" s="142" t="s">
        <v>93</v>
      </c>
    </row>
    <row r="99" spans="2:14" x14ac:dyDescent="0.3">
      <c r="B99" s="308" t="s">
        <v>326</v>
      </c>
      <c r="C99" s="302" t="str">
        <f>'1.Úvodní parametry'!$D$34</f>
        <v>Hodina</v>
      </c>
      <c r="D99" s="252">
        <v>3</v>
      </c>
      <c r="E99" s="303">
        <f>VLOOKUP(D99,'1.Úvodní parametry'!$D$43:$E$45,2,FALSE)</f>
        <v>709</v>
      </c>
      <c r="F99" s="251">
        <v>0</v>
      </c>
      <c r="G99" s="304"/>
      <c r="H99" s="132"/>
      <c r="I99" s="178" t="s">
        <v>325</v>
      </c>
      <c r="J99" s="146">
        <f t="shared" si="25"/>
        <v>0</v>
      </c>
      <c r="K99" s="147">
        <f t="shared" si="26"/>
        <v>0</v>
      </c>
      <c r="L99" s="148">
        <f t="shared" si="29"/>
        <v>0</v>
      </c>
      <c r="N99" s="142" t="s">
        <v>142</v>
      </c>
    </row>
    <row r="100" spans="2:14" x14ac:dyDescent="0.3">
      <c r="B100" s="308" t="s">
        <v>326</v>
      </c>
      <c r="C100" s="308" t="str">
        <f>JenotkaMěny</f>
        <v>Kč</v>
      </c>
      <c r="D100" s="386"/>
      <c r="E100" s="303"/>
      <c r="F100" s="339">
        <v>0</v>
      </c>
      <c r="G100" s="304" t="s">
        <v>677</v>
      </c>
      <c r="H100" s="132"/>
      <c r="I100" s="152" t="s">
        <v>325</v>
      </c>
      <c r="J100" s="146">
        <f>IF($J$4='1.Úvodní parametry'!$D$3,F100,F100/(1+$K$3))</f>
        <v>0</v>
      </c>
      <c r="K100" s="147">
        <f>IF($K$4='1.Úvodní parametry'!$D$3,F100,F100*(1+$K$3))</f>
        <v>0</v>
      </c>
      <c r="L100" s="148">
        <f t="shared" ref="L100" si="33">IF($L$4=$J$4,J100,K100)</f>
        <v>0</v>
      </c>
      <c r="N100" s="142" t="s">
        <v>93</v>
      </c>
    </row>
    <row r="101" spans="2:14" x14ac:dyDescent="0.3">
      <c r="B101" s="308" t="s">
        <v>327</v>
      </c>
      <c r="C101" s="302" t="str">
        <f>'1.Úvodní parametry'!$D$34</f>
        <v>Hodina</v>
      </c>
      <c r="D101" s="252">
        <v>2</v>
      </c>
      <c r="E101" s="303">
        <f>VLOOKUP(D101,'1.Úvodní parametry'!$D$43:$E$45,2,FALSE)</f>
        <v>657</v>
      </c>
      <c r="F101" s="251">
        <v>0</v>
      </c>
      <c r="G101" s="304"/>
      <c r="H101" s="132"/>
      <c r="I101" s="152" t="s">
        <v>328</v>
      </c>
      <c r="J101" s="146">
        <f t="shared" si="25"/>
        <v>0</v>
      </c>
      <c r="K101" s="147">
        <f t="shared" si="26"/>
        <v>0</v>
      </c>
      <c r="L101" s="148">
        <f t="shared" si="29"/>
        <v>0</v>
      </c>
      <c r="N101" s="142" t="s">
        <v>142</v>
      </c>
    </row>
    <row r="102" spans="2:14" x14ac:dyDescent="0.3">
      <c r="B102" s="308" t="s">
        <v>327</v>
      </c>
      <c r="C102" s="308" t="str">
        <f>JenotkaMěny</f>
        <v>Kč</v>
      </c>
      <c r="D102" s="386"/>
      <c r="E102" s="303"/>
      <c r="F102" s="339">
        <v>0</v>
      </c>
      <c r="G102" s="304" t="s">
        <v>677</v>
      </c>
      <c r="H102" s="132"/>
      <c r="I102" s="152" t="s">
        <v>328</v>
      </c>
      <c r="J102" s="146">
        <f>IF($J$4='1.Úvodní parametry'!$D$3,F102,F102/(1+$K$3))</f>
        <v>0</v>
      </c>
      <c r="K102" s="147">
        <f>IF($K$4='1.Úvodní parametry'!$D$3,F102,F102*(1+$K$3))</f>
        <v>0</v>
      </c>
      <c r="L102" s="148">
        <f t="shared" ref="L102" si="34">IF($L$4=$J$4,J102,K102)</f>
        <v>0</v>
      </c>
      <c r="N102" s="142" t="s">
        <v>93</v>
      </c>
    </row>
    <row r="103" spans="2:14" x14ac:dyDescent="0.3">
      <c r="B103" s="308" t="s">
        <v>329</v>
      </c>
      <c r="C103" s="302" t="str">
        <f>'1.Úvodní parametry'!$D$34</f>
        <v>Hodina</v>
      </c>
      <c r="D103" s="252">
        <v>2</v>
      </c>
      <c r="E103" s="303">
        <f>VLOOKUP(D103,'1.Úvodní parametry'!$D$43:$E$45,2,FALSE)</f>
        <v>657</v>
      </c>
      <c r="F103" s="251">
        <v>0</v>
      </c>
      <c r="G103" s="304"/>
      <c r="H103" s="132"/>
      <c r="I103" s="152" t="s">
        <v>330</v>
      </c>
      <c r="J103" s="146">
        <f t="shared" si="25"/>
        <v>0</v>
      </c>
      <c r="K103" s="147">
        <f t="shared" si="26"/>
        <v>0</v>
      </c>
      <c r="L103" s="148">
        <f t="shared" si="29"/>
        <v>0</v>
      </c>
      <c r="N103" s="142" t="s">
        <v>142</v>
      </c>
    </row>
    <row r="104" spans="2:14" x14ac:dyDescent="0.3">
      <c r="B104" s="308" t="s">
        <v>329</v>
      </c>
      <c r="C104" s="308" t="str">
        <f>JenotkaMěny</f>
        <v>Kč</v>
      </c>
      <c r="D104" s="386"/>
      <c r="E104" s="303"/>
      <c r="F104" s="339">
        <v>0</v>
      </c>
      <c r="G104" s="304" t="s">
        <v>677</v>
      </c>
      <c r="H104" s="132"/>
      <c r="I104" s="152" t="s">
        <v>330</v>
      </c>
      <c r="J104" s="146">
        <f>IF($J$4='1.Úvodní parametry'!$D$3,F104,F104/(1+$K$3))</f>
        <v>0</v>
      </c>
      <c r="K104" s="147">
        <f>IF($K$4='1.Úvodní parametry'!$D$3,F104,F104*(1+$K$3))</f>
        <v>0</v>
      </c>
      <c r="L104" s="148">
        <f t="shared" ref="L104" si="35">IF($L$4=$J$4,J104,K104)</f>
        <v>0</v>
      </c>
      <c r="N104" s="142" t="s">
        <v>93</v>
      </c>
    </row>
    <row r="105" spans="2:14" x14ac:dyDescent="0.3">
      <c r="B105" s="308" t="s">
        <v>331</v>
      </c>
      <c r="C105" s="302" t="str">
        <f>'1.Úvodní parametry'!$D$34</f>
        <v>Hodina</v>
      </c>
      <c r="D105" s="252">
        <v>2</v>
      </c>
      <c r="E105" s="303">
        <f>VLOOKUP(D105,'1.Úvodní parametry'!$D$43:$E$45,2,FALSE)</f>
        <v>657</v>
      </c>
      <c r="F105" s="251">
        <v>0</v>
      </c>
      <c r="G105" s="304"/>
      <c r="H105" s="132"/>
      <c r="I105" s="152" t="s">
        <v>332</v>
      </c>
      <c r="J105" s="146">
        <f t="shared" si="25"/>
        <v>0</v>
      </c>
      <c r="K105" s="147">
        <f t="shared" si="26"/>
        <v>0</v>
      </c>
      <c r="L105" s="148">
        <f t="shared" si="29"/>
        <v>0</v>
      </c>
      <c r="N105" s="142" t="s">
        <v>142</v>
      </c>
    </row>
    <row r="106" spans="2:14" x14ac:dyDescent="0.3">
      <c r="B106" s="308" t="s">
        <v>331</v>
      </c>
      <c r="C106" s="308" t="str">
        <f>JenotkaMěny</f>
        <v>Kč</v>
      </c>
      <c r="D106" s="386"/>
      <c r="E106" s="303"/>
      <c r="F106" s="339">
        <v>0</v>
      </c>
      <c r="G106" s="304" t="s">
        <v>677</v>
      </c>
      <c r="H106" s="132"/>
      <c r="I106" s="152" t="s">
        <v>332</v>
      </c>
      <c r="J106" s="146">
        <f>IF($J$4='1.Úvodní parametry'!$D$3,F106,F106/(1+$K$3))</f>
        <v>0</v>
      </c>
      <c r="K106" s="147">
        <f>IF($K$4='1.Úvodní parametry'!$D$3,F106,F106*(1+$K$3))</f>
        <v>0</v>
      </c>
      <c r="L106" s="148">
        <f t="shared" ref="L106" si="36">IF($L$4=$J$4,J106,K106)</f>
        <v>0</v>
      </c>
      <c r="N106" s="142" t="s">
        <v>93</v>
      </c>
    </row>
    <row r="107" spans="2:14" x14ac:dyDescent="0.3">
      <c r="B107" s="308" t="s">
        <v>333</v>
      </c>
      <c r="C107" s="302" t="str">
        <f>'1.Úvodní parametry'!$D$34</f>
        <v>Hodina</v>
      </c>
      <c r="D107" s="252">
        <v>2</v>
      </c>
      <c r="E107" s="303">
        <f>VLOOKUP(D107,'1.Úvodní parametry'!$D$43:$E$45,2,FALSE)</f>
        <v>657</v>
      </c>
      <c r="F107" s="251">
        <v>0</v>
      </c>
      <c r="G107" s="304"/>
      <c r="H107" s="132"/>
      <c r="I107" s="152" t="s">
        <v>334</v>
      </c>
      <c r="J107" s="146">
        <f t="shared" si="25"/>
        <v>0</v>
      </c>
      <c r="K107" s="147">
        <f t="shared" si="26"/>
        <v>0</v>
      </c>
      <c r="L107" s="148">
        <f t="shared" si="29"/>
        <v>0</v>
      </c>
      <c r="N107" s="142" t="s">
        <v>142</v>
      </c>
    </row>
    <row r="108" spans="2:14" x14ac:dyDescent="0.3">
      <c r="B108" s="308" t="s">
        <v>333</v>
      </c>
      <c r="C108" s="308" t="str">
        <f>JenotkaMěny</f>
        <v>Kč</v>
      </c>
      <c r="D108" s="386"/>
      <c r="E108" s="303"/>
      <c r="F108" s="339">
        <v>0</v>
      </c>
      <c r="G108" s="304" t="s">
        <v>677</v>
      </c>
      <c r="H108" s="132"/>
      <c r="I108" s="152" t="s">
        <v>334</v>
      </c>
      <c r="J108" s="146">
        <f>IF($J$4='1.Úvodní parametry'!$D$3,F108,F108/(1+$K$3))</f>
        <v>0</v>
      </c>
      <c r="K108" s="147">
        <f>IF($K$4='1.Úvodní parametry'!$D$3,F108,F108*(1+$K$3))</f>
        <v>0</v>
      </c>
      <c r="L108" s="148">
        <f t="shared" ref="L108" si="37">IF($L$4=$J$4,J108,K108)</f>
        <v>0</v>
      </c>
      <c r="N108" s="142" t="s">
        <v>93</v>
      </c>
    </row>
    <row r="109" spans="2:14" x14ac:dyDescent="0.3">
      <c r="B109" s="308" t="s">
        <v>335</v>
      </c>
      <c r="C109" s="302" t="str">
        <f>'1.Úvodní parametry'!$D$34</f>
        <v>Hodina</v>
      </c>
      <c r="D109" s="252">
        <v>2</v>
      </c>
      <c r="E109" s="303">
        <f>VLOOKUP(D109,'1.Úvodní parametry'!$D$43:$E$45,2,FALSE)</f>
        <v>657</v>
      </c>
      <c r="F109" s="251">
        <v>0</v>
      </c>
      <c r="G109" s="304"/>
      <c r="H109" s="132"/>
      <c r="I109" s="152" t="s">
        <v>336</v>
      </c>
      <c r="J109" s="146">
        <f t="shared" si="25"/>
        <v>0</v>
      </c>
      <c r="K109" s="147">
        <f t="shared" si="26"/>
        <v>0</v>
      </c>
      <c r="L109" s="148">
        <f t="shared" si="29"/>
        <v>0</v>
      </c>
      <c r="N109" s="142" t="s">
        <v>142</v>
      </c>
    </row>
    <row r="110" spans="2:14" x14ac:dyDescent="0.3">
      <c r="B110" s="308" t="s">
        <v>335</v>
      </c>
      <c r="C110" s="308" t="str">
        <f>JenotkaMěny</f>
        <v>Kč</v>
      </c>
      <c r="D110" s="386"/>
      <c r="E110" s="303"/>
      <c r="F110" s="339">
        <v>0</v>
      </c>
      <c r="G110" s="304" t="s">
        <v>677</v>
      </c>
      <c r="H110" s="132"/>
      <c r="I110" s="152" t="s">
        <v>336</v>
      </c>
      <c r="J110" s="146">
        <f>IF($J$4='1.Úvodní parametry'!$D$3,F110,F110/(1+$K$3))</f>
        <v>0</v>
      </c>
      <c r="K110" s="147">
        <f>IF($K$4='1.Úvodní parametry'!$D$3,F110,F110*(1+$K$3))</f>
        <v>0</v>
      </c>
      <c r="L110" s="148">
        <f t="shared" ref="L110" si="38">IF($L$4=$J$4,J110,K110)</f>
        <v>0</v>
      </c>
      <c r="N110" s="142" t="s">
        <v>93</v>
      </c>
    </row>
    <row r="111" spans="2:14" x14ac:dyDescent="0.3">
      <c r="B111" s="308" t="s">
        <v>337</v>
      </c>
      <c r="C111" s="302" t="str">
        <f>'1.Úvodní parametry'!$D$34</f>
        <v>Hodina</v>
      </c>
      <c r="D111" s="252">
        <v>2</v>
      </c>
      <c r="E111" s="303">
        <f>VLOOKUP(D111,'1.Úvodní parametry'!$D$43:$E$45,2,FALSE)</f>
        <v>657</v>
      </c>
      <c r="F111" s="251">
        <v>0</v>
      </c>
      <c r="G111" s="304"/>
      <c r="H111" s="132"/>
      <c r="I111" s="152" t="s">
        <v>338</v>
      </c>
      <c r="J111" s="146">
        <f t="shared" si="25"/>
        <v>0</v>
      </c>
      <c r="K111" s="147">
        <f t="shared" si="26"/>
        <v>0</v>
      </c>
      <c r="L111" s="148">
        <f t="shared" si="29"/>
        <v>0</v>
      </c>
      <c r="N111" s="142" t="s">
        <v>142</v>
      </c>
    </row>
    <row r="112" spans="2:14" x14ac:dyDescent="0.3">
      <c r="B112" s="308" t="s">
        <v>337</v>
      </c>
      <c r="C112" s="308" t="str">
        <f>JenotkaMěny</f>
        <v>Kč</v>
      </c>
      <c r="D112" s="386"/>
      <c r="E112" s="303"/>
      <c r="F112" s="339">
        <v>0</v>
      </c>
      <c r="G112" s="304" t="s">
        <v>677</v>
      </c>
      <c r="H112" s="132"/>
      <c r="I112" s="152" t="s">
        <v>338</v>
      </c>
      <c r="J112" s="146">
        <f>IF($J$4='1.Úvodní parametry'!$D$3,F112,F112/(1+$K$3))</f>
        <v>0</v>
      </c>
      <c r="K112" s="147">
        <f>IF($K$4='1.Úvodní parametry'!$D$3,F112,F112*(1+$K$3))</f>
        <v>0</v>
      </c>
      <c r="L112" s="148">
        <f t="shared" ref="L112" si="39">IF($L$4=$J$4,J112,K112)</f>
        <v>0</v>
      </c>
      <c r="N112" s="142" t="s">
        <v>93</v>
      </c>
    </row>
    <row r="113" spans="2:14" x14ac:dyDescent="0.3">
      <c r="B113" s="308" t="s">
        <v>339</v>
      </c>
      <c r="C113" s="302" t="str">
        <f>'1.Úvodní parametry'!$D$34</f>
        <v>Hodina</v>
      </c>
      <c r="D113" s="252">
        <v>2</v>
      </c>
      <c r="E113" s="303">
        <f>VLOOKUP(D113,'1.Úvodní parametry'!$D$43:$E$45,2,FALSE)</f>
        <v>657</v>
      </c>
      <c r="F113" s="251">
        <v>0</v>
      </c>
      <c r="G113" s="304"/>
      <c r="H113" s="132"/>
      <c r="I113" s="152" t="s">
        <v>340</v>
      </c>
      <c r="J113" s="146">
        <f t="shared" si="25"/>
        <v>0</v>
      </c>
      <c r="K113" s="147">
        <f t="shared" si="26"/>
        <v>0</v>
      </c>
      <c r="L113" s="148">
        <f t="shared" si="29"/>
        <v>0</v>
      </c>
      <c r="N113" s="142" t="s">
        <v>142</v>
      </c>
    </row>
    <row r="114" spans="2:14" x14ac:dyDescent="0.3">
      <c r="B114" s="308" t="s">
        <v>339</v>
      </c>
      <c r="C114" s="308" t="str">
        <f>JenotkaMěny</f>
        <v>Kč</v>
      </c>
      <c r="D114" s="386"/>
      <c r="E114" s="303"/>
      <c r="F114" s="339">
        <v>0</v>
      </c>
      <c r="G114" s="304" t="s">
        <v>677</v>
      </c>
      <c r="H114" s="132"/>
      <c r="I114" s="152" t="s">
        <v>340</v>
      </c>
      <c r="J114" s="146">
        <f>IF($J$4='1.Úvodní parametry'!$D$3,F114,F114/(1+$K$3))</f>
        <v>0</v>
      </c>
      <c r="K114" s="147">
        <f>IF($K$4='1.Úvodní parametry'!$D$3,F114,F114*(1+$K$3))</f>
        <v>0</v>
      </c>
      <c r="L114" s="148">
        <f t="shared" ref="L114" si="40">IF($L$4=$J$4,J114,K114)</f>
        <v>0</v>
      </c>
      <c r="N114" s="142" t="s">
        <v>93</v>
      </c>
    </row>
    <row r="115" spans="2:14" x14ac:dyDescent="0.3">
      <c r="B115" s="308" t="s">
        <v>341</v>
      </c>
      <c r="C115" s="302" t="str">
        <f>'1.Úvodní parametry'!$D$34</f>
        <v>Hodina</v>
      </c>
      <c r="D115" s="252">
        <v>2</v>
      </c>
      <c r="E115" s="303">
        <f>VLOOKUP(D115,'1.Úvodní parametry'!$D$43:$E$45,2,FALSE)</f>
        <v>657</v>
      </c>
      <c r="F115" s="251">
        <v>0</v>
      </c>
      <c r="G115" s="304"/>
      <c r="H115" s="132"/>
      <c r="I115" s="152" t="s">
        <v>342</v>
      </c>
      <c r="J115" s="146">
        <f t="shared" si="25"/>
        <v>0</v>
      </c>
      <c r="K115" s="147">
        <f t="shared" si="26"/>
        <v>0</v>
      </c>
      <c r="L115" s="148">
        <f t="shared" si="29"/>
        <v>0</v>
      </c>
      <c r="N115" s="142" t="s">
        <v>142</v>
      </c>
    </row>
    <row r="116" spans="2:14" x14ac:dyDescent="0.3">
      <c r="B116" s="308" t="s">
        <v>343</v>
      </c>
      <c r="C116" s="308" t="str">
        <f>JenotkaMěny</f>
        <v>Kč</v>
      </c>
      <c r="D116" s="386"/>
      <c r="E116" s="309"/>
      <c r="F116" s="339">
        <v>0</v>
      </c>
      <c r="G116" s="304" t="s">
        <v>677</v>
      </c>
      <c r="H116" s="132"/>
      <c r="I116" s="152" t="s">
        <v>342</v>
      </c>
      <c r="J116" s="146">
        <f>IF($J$4='1.Úvodní parametry'!$D$3,F116,F116/(1+$K$3))</f>
        <v>0</v>
      </c>
      <c r="K116" s="147">
        <f>IF($K$4='1.Úvodní parametry'!$D$3,F116,F116*(1+$K$3))</f>
        <v>0</v>
      </c>
      <c r="L116" s="148">
        <f t="shared" si="29"/>
        <v>0</v>
      </c>
      <c r="N116" s="142" t="s">
        <v>93</v>
      </c>
    </row>
    <row r="117" spans="2:14" x14ac:dyDescent="0.3">
      <c r="B117" s="308" t="s">
        <v>344</v>
      </c>
      <c r="C117" s="302" t="str">
        <f>'1.Úvodní parametry'!$D$34</f>
        <v>Hodina</v>
      </c>
      <c r="D117" s="252">
        <v>2</v>
      </c>
      <c r="E117" s="303">
        <f>VLOOKUP(D117,'1.Úvodní parametry'!$D$43:$E$45,2,FALSE)</f>
        <v>657</v>
      </c>
      <c r="F117" s="251">
        <v>0</v>
      </c>
      <c r="G117" s="304"/>
      <c r="H117" s="132"/>
      <c r="I117" s="152" t="s">
        <v>342</v>
      </c>
      <c r="J117" s="146">
        <f t="shared" ref="J117" si="41">E117*F117</f>
        <v>0</v>
      </c>
      <c r="K117" s="147">
        <f t="shared" ref="K117" si="42">E117*F117</f>
        <v>0</v>
      </c>
      <c r="L117" s="148">
        <f t="shared" ref="L117" si="43">IF($L$4=$J$4,J117,K117)</f>
        <v>0</v>
      </c>
      <c r="N117" s="142" t="s">
        <v>142</v>
      </c>
    </row>
    <row r="118" spans="2:14" ht="15" thickBot="1" x14ac:dyDescent="0.35">
      <c r="B118" s="308" t="s">
        <v>344</v>
      </c>
      <c r="C118" s="308" t="str">
        <f>JenotkaMěny</f>
        <v>Kč</v>
      </c>
      <c r="D118" s="386"/>
      <c r="E118" s="386"/>
      <c r="F118" s="339">
        <v>0</v>
      </c>
      <c r="G118" s="304" t="s">
        <v>345</v>
      </c>
      <c r="H118" s="132"/>
      <c r="I118" s="152" t="s">
        <v>346</v>
      </c>
      <c r="J118" s="146">
        <f>IF($J$4='1.Úvodní parametry'!$D$3,F118,F118/(1+$K$3))</f>
        <v>0</v>
      </c>
      <c r="K118" s="147">
        <f>IF($K$4='1.Úvodní parametry'!$D$3,F118,F118*(1+$K$3))</f>
        <v>0</v>
      </c>
      <c r="L118" s="148">
        <f t="shared" si="29"/>
        <v>0</v>
      </c>
      <c r="N118" s="142" t="s">
        <v>93</v>
      </c>
    </row>
    <row r="119" spans="2:14" ht="15.6" thickTop="1" thickBot="1" x14ac:dyDescent="0.35">
      <c r="B119" s="394" t="s">
        <v>347</v>
      </c>
      <c r="C119" s="394" t="str">
        <f>JenotkaMěny</f>
        <v>Kč</v>
      </c>
      <c r="D119" s="395"/>
      <c r="E119" s="395"/>
      <c r="F119" s="542">
        <f>IF($J$14='1.Úvodní parametry'!$D$3,'3. Vstupní data cloud'!J119,'3. Vstupní data cloud'!K119)</f>
        <v>0</v>
      </c>
      <c r="G119" s="395" t="s">
        <v>313</v>
      </c>
      <c r="H119" s="132"/>
      <c r="I119" s="133"/>
      <c r="J119" s="522">
        <f>SUM(J89:J118)</f>
        <v>0</v>
      </c>
      <c r="K119" s="523">
        <f>SUM(K89:K118)</f>
        <v>0</v>
      </c>
      <c r="L119" s="524">
        <f>SUM(L89:L118)</f>
        <v>0</v>
      </c>
      <c r="N119" s="142" t="s">
        <v>93</v>
      </c>
    </row>
    <row r="120" spans="2:14" ht="19.8" thickTop="1" x14ac:dyDescent="0.3">
      <c r="B120" s="271" t="s">
        <v>316</v>
      </c>
      <c r="C120" s="268" t="s">
        <v>30</v>
      </c>
      <c r="D120" s="269" t="s">
        <v>9</v>
      </c>
      <c r="E120" s="297"/>
      <c r="F120" s="270" t="s">
        <v>42</v>
      </c>
      <c r="G120" s="285" t="s">
        <v>19</v>
      </c>
      <c r="H120" s="132"/>
      <c r="I120" s="133"/>
      <c r="N120" s="142" t="s">
        <v>93</v>
      </c>
    </row>
    <row r="121" spans="2:14" ht="24" customHeight="1" thickBot="1" x14ac:dyDescent="0.35">
      <c r="B121" s="390" t="s">
        <v>314</v>
      </c>
      <c r="C121" s="391"/>
      <c r="D121" s="235" t="str">
        <f>'1.Úvodní parametry'!$D$10</f>
        <v>NE</v>
      </c>
      <c r="E121" s="391"/>
      <c r="F121" s="396"/>
      <c r="G121" s="392" t="s">
        <v>315</v>
      </c>
      <c r="H121" s="132"/>
      <c r="I121" s="133"/>
      <c r="N121" s="142" t="s">
        <v>93</v>
      </c>
    </row>
    <row r="122" spans="2:14" ht="15" thickTop="1" x14ac:dyDescent="0.3">
      <c r="B122" s="510"/>
      <c r="C122" s="510"/>
      <c r="D122" s="510"/>
      <c r="E122" s="510"/>
      <c r="F122" s="511"/>
      <c r="N122" s="142" t="s">
        <v>93</v>
      </c>
    </row>
    <row r="123" spans="2:14" x14ac:dyDescent="0.3">
      <c r="B123" s="399" t="s">
        <v>349</v>
      </c>
      <c r="C123" s="400" t="s">
        <v>30</v>
      </c>
      <c r="D123" s="401" t="s">
        <v>239</v>
      </c>
      <c r="E123" s="402"/>
      <c r="F123" s="270" t="s">
        <v>42</v>
      </c>
      <c r="G123" s="399" t="s">
        <v>19</v>
      </c>
      <c r="H123" s="132"/>
      <c r="I123" s="133"/>
      <c r="J123" s="143" t="s">
        <v>3</v>
      </c>
      <c r="K123" s="144" t="s">
        <v>43</v>
      </c>
      <c r="L123" s="145" t="str">
        <f>'4. Kalkulace TCO a Porovnání'!$J$5</f>
        <v>v Kč včetně DPH</v>
      </c>
      <c r="N123" s="142" t="s">
        <v>93</v>
      </c>
    </row>
    <row r="124" spans="2:14" x14ac:dyDescent="0.3">
      <c r="B124" s="404" t="s">
        <v>350</v>
      </c>
      <c r="C124" s="302" t="str">
        <f>'1.Úvodní parametry'!$D$34</f>
        <v>Hodina</v>
      </c>
      <c r="D124" s="252">
        <v>1</v>
      </c>
      <c r="E124" s="303">
        <f>VLOOKUP(D124,'1.Úvodní parametry'!$D$43:$E$45,2,FALSE)</f>
        <v>608</v>
      </c>
      <c r="F124" s="374">
        <v>0</v>
      </c>
      <c r="G124" s="304"/>
      <c r="H124" s="132"/>
      <c r="I124" s="152" t="s">
        <v>351</v>
      </c>
      <c r="J124" s="146">
        <f>E124*F124</f>
        <v>0</v>
      </c>
      <c r="K124" s="147">
        <f>E124*F124</f>
        <v>0</v>
      </c>
      <c r="L124" s="148">
        <f t="shared" ref="L124:L125" si="44">IF($L$4=$J$4,J124,K124)</f>
        <v>0</v>
      </c>
      <c r="N124" s="142" t="s">
        <v>352</v>
      </c>
    </row>
    <row r="125" spans="2:14" x14ac:dyDescent="0.3">
      <c r="B125" s="404" t="s">
        <v>350</v>
      </c>
      <c r="C125" s="308" t="str">
        <f>JenotkaMěny</f>
        <v>Kč</v>
      </c>
      <c r="D125" s="386"/>
      <c r="E125" s="303"/>
      <c r="F125" s="339">
        <v>0</v>
      </c>
      <c r="G125" s="304"/>
      <c r="H125" s="132"/>
      <c r="I125" s="152" t="s">
        <v>351</v>
      </c>
      <c r="J125" s="146">
        <f>IF($J$4='1.Úvodní parametry'!$D$3,F125,F125/(1+$K$3))</f>
        <v>0</v>
      </c>
      <c r="K125" s="147">
        <f>IF($K$4='1.Úvodní parametry'!$D$3,F125,F125*(1+$K$3))</f>
        <v>0</v>
      </c>
      <c r="L125" s="148">
        <f t="shared" si="44"/>
        <v>0</v>
      </c>
      <c r="N125" s="142" t="s">
        <v>93</v>
      </c>
    </row>
    <row r="126" spans="2:14" x14ac:dyDescent="0.3">
      <c r="B126" s="404" t="s">
        <v>353</v>
      </c>
      <c r="C126" s="302" t="str">
        <f>'1.Úvodní parametry'!$D$34</f>
        <v>Hodina</v>
      </c>
      <c r="D126" s="252">
        <v>2</v>
      </c>
      <c r="E126" s="303">
        <f>VLOOKUP(D126,'1.Úvodní parametry'!$D$43:$E$45,2,FALSE)</f>
        <v>657</v>
      </c>
      <c r="F126" s="374">
        <v>0</v>
      </c>
      <c r="G126" s="304"/>
      <c r="H126" s="132"/>
      <c r="I126" s="152" t="s">
        <v>354</v>
      </c>
      <c r="J126" s="146">
        <f>E126*F126</f>
        <v>0</v>
      </c>
      <c r="K126" s="147">
        <f>E126*F126</f>
        <v>0</v>
      </c>
      <c r="L126" s="148">
        <f t="shared" ref="L126:L127" si="45">IF($L$4=$J$4,J126,K126)</f>
        <v>0</v>
      </c>
      <c r="N126" s="142" t="s">
        <v>352</v>
      </c>
    </row>
    <row r="127" spans="2:14" x14ac:dyDescent="0.3">
      <c r="B127" s="404" t="s">
        <v>353</v>
      </c>
      <c r="C127" s="308" t="str">
        <f>JenotkaMěny</f>
        <v>Kč</v>
      </c>
      <c r="D127" s="386"/>
      <c r="E127" s="303"/>
      <c r="F127" s="339">
        <v>0</v>
      </c>
      <c r="G127" s="304"/>
      <c r="H127" s="132"/>
      <c r="I127" s="152" t="s">
        <v>354</v>
      </c>
      <c r="J127" s="146">
        <f>IF($J$4='1.Úvodní parametry'!$D$3,F127,F127/(1+$K$3))</f>
        <v>0</v>
      </c>
      <c r="K127" s="147">
        <f>IF($K$4='1.Úvodní parametry'!$D$3,F127,F127*(1+$K$3))</f>
        <v>0</v>
      </c>
      <c r="L127" s="148">
        <f t="shared" si="45"/>
        <v>0</v>
      </c>
      <c r="N127" s="142" t="s">
        <v>93</v>
      </c>
    </row>
    <row r="128" spans="2:14" x14ac:dyDescent="0.3">
      <c r="B128" s="404" t="s">
        <v>355</v>
      </c>
      <c r="C128" s="302" t="str">
        <f>'1.Úvodní parametry'!$D$34</f>
        <v>Hodina</v>
      </c>
      <c r="D128" s="252">
        <v>3</v>
      </c>
      <c r="E128" s="303">
        <f>VLOOKUP(D128,'1.Úvodní parametry'!$D$43:$E$45,2,FALSE)</f>
        <v>709</v>
      </c>
      <c r="F128" s="374">
        <v>0</v>
      </c>
      <c r="G128" s="304"/>
      <c r="H128" s="132"/>
      <c r="I128" s="152" t="s">
        <v>356</v>
      </c>
      <c r="J128" s="146">
        <f>E128*F128</f>
        <v>0</v>
      </c>
      <c r="K128" s="147">
        <f>E128*F128</f>
        <v>0</v>
      </c>
      <c r="L128" s="148">
        <f t="shared" ref="L128:L129" si="46">IF($L$4=$J$4,J128,K128)</f>
        <v>0</v>
      </c>
      <c r="N128" s="142" t="s">
        <v>352</v>
      </c>
    </row>
    <row r="129" spans="2:14" x14ac:dyDescent="0.3">
      <c r="B129" s="404" t="s">
        <v>355</v>
      </c>
      <c r="C129" s="308" t="str">
        <f>JenotkaMěny</f>
        <v>Kč</v>
      </c>
      <c r="D129" s="386"/>
      <c r="E129" s="303"/>
      <c r="F129" s="339">
        <v>0</v>
      </c>
      <c r="G129" s="304"/>
      <c r="H129" s="132"/>
      <c r="I129" s="152" t="s">
        <v>356</v>
      </c>
      <c r="J129" s="146">
        <f>IF($J$4='1.Úvodní parametry'!$D$3,F129,F129/(1+$K$3))</f>
        <v>0</v>
      </c>
      <c r="K129" s="147">
        <f>IF($K$4='1.Úvodní parametry'!$D$3,F129,F129*(1+$K$3))</f>
        <v>0</v>
      </c>
      <c r="L129" s="148">
        <f t="shared" si="46"/>
        <v>0</v>
      </c>
      <c r="N129" s="142" t="s">
        <v>93</v>
      </c>
    </row>
    <row r="130" spans="2:14" x14ac:dyDescent="0.3">
      <c r="B130" s="404" t="s">
        <v>357</v>
      </c>
      <c r="C130" s="302" t="str">
        <f>'1.Úvodní parametry'!$D$34</f>
        <v>Hodina</v>
      </c>
      <c r="D130" s="252">
        <v>2</v>
      </c>
      <c r="E130" s="303">
        <f>VLOOKUP(D130,'1.Úvodní parametry'!$D$43:$E$45,2,FALSE)</f>
        <v>657</v>
      </c>
      <c r="F130" s="374">
        <v>0</v>
      </c>
      <c r="G130" s="304"/>
      <c r="H130" s="132"/>
      <c r="I130" s="152" t="s">
        <v>358</v>
      </c>
      <c r="J130" s="146">
        <f>E130*F130</f>
        <v>0</v>
      </c>
      <c r="K130" s="147">
        <f>E130*F130</f>
        <v>0</v>
      </c>
      <c r="L130" s="148">
        <f t="shared" ref="L130:L131" si="47">IF($L$4=$J$4,J130,K130)</f>
        <v>0</v>
      </c>
      <c r="N130" s="142" t="s">
        <v>352</v>
      </c>
    </row>
    <row r="131" spans="2:14" x14ac:dyDescent="0.3">
      <c r="B131" s="404" t="s">
        <v>357</v>
      </c>
      <c r="C131" s="308" t="str">
        <f>JenotkaMěny</f>
        <v>Kč</v>
      </c>
      <c r="D131" s="386"/>
      <c r="E131" s="303"/>
      <c r="F131" s="339">
        <v>0</v>
      </c>
      <c r="G131" s="304"/>
      <c r="H131" s="132"/>
      <c r="I131" s="152" t="s">
        <v>358</v>
      </c>
      <c r="J131" s="146">
        <f>IF($J$4='1.Úvodní parametry'!$D$3,F131,F131/(1+$K$3))</f>
        <v>0</v>
      </c>
      <c r="K131" s="147">
        <f>IF($K$4='1.Úvodní parametry'!$D$3,F131,F131*(1+$K$3))</f>
        <v>0</v>
      </c>
      <c r="L131" s="148">
        <f t="shared" si="47"/>
        <v>0</v>
      </c>
      <c r="N131" s="142" t="s">
        <v>93</v>
      </c>
    </row>
    <row r="132" spans="2:14" ht="19.2" x14ac:dyDescent="0.3">
      <c r="B132" s="406"/>
      <c r="C132" s="407"/>
      <c r="D132" s="408" t="s">
        <v>12</v>
      </c>
      <c r="E132" s="409"/>
      <c r="F132" s="410"/>
      <c r="G132" s="411"/>
      <c r="H132" s="132"/>
      <c r="I132" s="133"/>
      <c r="N132" s="142" t="s">
        <v>93</v>
      </c>
    </row>
    <row r="133" spans="2:14" ht="24" customHeight="1" thickBot="1" x14ac:dyDescent="0.35">
      <c r="B133" s="390" t="s">
        <v>314</v>
      </c>
      <c r="C133" s="412"/>
      <c r="D133" s="235" t="str">
        <f>'1.Úvodní parametry'!$D$13</f>
        <v>NE</v>
      </c>
      <c r="E133" s="293"/>
      <c r="F133" s="413"/>
      <c r="G133" s="392" t="s">
        <v>359</v>
      </c>
      <c r="H133" s="132"/>
      <c r="I133" s="133"/>
      <c r="N133" s="142" t="s">
        <v>93</v>
      </c>
    </row>
    <row r="134" spans="2:14" ht="15" thickTop="1" x14ac:dyDescent="0.3">
      <c r="B134" s="510"/>
      <c r="C134" s="510"/>
      <c r="D134" s="510"/>
      <c r="E134" s="510"/>
      <c r="F134" s="511"/>
      <c r="N134" s="142" t="s">
        <v>93</v>
      </c>
    </row>
    <row r="135" spans="2:14" x14ac:dyDescent="0.3">
      <c r="B135" s="271" t="s">
        <v>360</v>
      </c>
      <c r="C135" s="268" t="s">
        <v>30</v>
      </c>
      <c r="D135" s="364" t="s">
        <v>239</v>
      </c>
      <c r="E135" s="297"/>
      <c r="F135" s="270" t="s">
        <v>42</v>
      </c>
      <c r="G135" s="271" t="s">
        <v>19</v>
      </c>
      <c r="H135" s="132"/>
      <c r="I135" s="133"/>
      <c r="J135" s="143" t="s">
        <v>3</v>
      </c>
      <c r="K135" s="144" t="s">
        <v>43</v>
      </c>
      <c r="L135" s="145" t="str">
        <f>'4. Kalkulace TCO a Porovnání'!$J$5</f>
        <v>v Kč včetně DPH</v>
      </c>
      <c r="N135" s="142" t="s">
        <v>93</v>
      </c>
    </row>
    <row r="136" spans="2:14" x14ac:dyDescent="0.3">
      <c r="B136" s="404" t="s">
        <v>361</v>
      </c>
      <c r="C136" s="302" t="str">
        <f>'1.Úvodní parametry'!$D$34</f>
        <v>Hodina</v>
      </c>
      <c r="D136" s="252">
        <v>1</v>
      </c>
      <c r="E136" s="303">
        <f>VLOOKUP(D136,'1.Úvodní parametry'!$D$43:$E$45,2,FALSE)</f>
        <v>608</v>
      </c>
      <c r="F136" s="374">
        <v>0</v>
      </c>
      <c r="G136" s="304"/>
      <c r="H136" s="132"/>
      <c r="I136" s="152" t="s">
        <v>362</v>
      </c>
      <c r="J136" s="146">
        <f>E136*F136</f>
        <v>0</v>
      </c>
      <c r="K136" s="147">
        <f>E136*F136</f>
        <v>0</v>
      </c>
      <c r="L136" s="148">
        <f t="shared" ref="L136:L137" si="48">IF($L$4=$J$4,J136,K136)</f>
        <v>0</v>
      </c>
      <c r="N136" s="142" t="s">
        <v>352</v>
      </c>
    </row>
    <row r="137" spans="2:14" x14ac:dyDescent="0.3">
      <c r="B137" s="404" t="s">
        <v>361</v>
      </c>
      <c r="C137" s="308" t="str">
        <f>JenotkaMěny</f>
        <v>Kč</v>
      </c>
      <c r="D137" s="386"/>
      <c r="E137" s="303"/>
      <c r="F137" s="339">
        <v>0</v>
      </c>
      <c r="G137" s="304"/>
      <c r="H137" s="132"/>
      <c r="I137" s="152" t="s">
        <v>362</v>
      </c>
      <c r="J137" s="146">
        <f>IF($J$4='1.Úvodní parametry'!$D$3,F137,F137/(1+$K$3))</f>
        <v>0</v>
      </c>
      <c r="K137" s="147">
        <f>IF($K$4='1.Úvodní parametry'!$D$3,F137,F137*(1+$K$3))</f>
        <v>0</v>
      </c>
      <c r="L137" s="148">
        <f t="shared" si="48"/>
        <v>0</v>
      </c>
      <c r="N137" s="142" t="s">
        <v>93</v>
      </c>
    </row>
    <row r="138" spans="2:14" ht="19.2" x14ac:dyDescent="0.3">
      <c r="B138" s="416"/>
      <c r="C138" s="417"/>
      <c r="D138" s="408" t="s">
        <v>12</v>
      </c>
      <c r="E138" s="409"/>
      <c r="F138" s="418"/>
      <c r="G138" s="419"/>
      <c r="H138" s="132"/>
      <c r="I138" s="153"/>
      <c r="N138" s="142" t="s">
        <v>93</v>
      </c>
    </row>
    <row r="139" spans="2:14" ht="24.6" customHeight="1" thickBot="1" x14ac:dyDescent="0.35">
      <c r="B139" s="390" t="s">
        <v>314</v>
      </c>
      <c r="C139" s="420"/>
      <c r="D139" s="235" t="str">
        <f>'1.Úvodní parametry'!$D$13</f>
        <v>NE</v>
      </c>
      <c r="E139" s="293"/>
      <c r="F139" s="421"/>
      <c r="G139" s="422" t="s">
        <v>359</v>
      </c>
      <c r="H139" s="132"/>
      <c r="I139" s="133"/>
      <c r="N139" s="142" t="s">
        <v>93</v>
      </c>
    </row>
    <row r="140" spans="2:14" ht="15" thickTop="1" x14ac:dyDescent="0.3">
      <c r="B140" s="510"/>
      <c r="C140" s="510"/>
      <c r="D140" s="510"/>
      <c r="E140" s="510"/>
      <c r="F140" s="511"/>
      <c r="N140" s="142" t="s">
        <v>93</v>
      </c>
    </row>
    <row r="141" spans="2:14" x14ac:dyDescent="0.3">
      <c r="B141" s="271" t="s">
        <v>369</v>
      </c>
      <c r="C141" s="268" t="s">
        <v>30</v>
      </c>
      <c r="D141" s="364" t="s">
        <v>239</v>
      </c>
      <c r="E141" s="297"/>
      <c r="F141" s="270" t="s">
        <v>42</v>
      </c>
      <c r="G141" s="271" t="s">
        <v>19</v>
      </c>
      <c r="H141" s="132"/>
      <c r="I141" s="133" t="s">
        <v>463</v>
      </c>
      <c r="J141" s="143" t="s">
        <v>3</v>
      </c>
      <c r="K141" s="144" t="s">
        <v>43</v>
      </c>
      <c r="L141" s="145" t="str">
        <f>'4. Kalkulace TCO a Porovnání'!$J$5</f>
        <v>v Kč včetně DPH</v>
      </c>
      <c r="N141" s="142" t="s">
        <v>93</v>
      </c>
    </row>
    <row r="142" spans="2:14" x14ac:dyDescent="0.3">
      <c r="B142" s="404" t="s">
        <v>370</v>
      </c>
      <c r="C142" s="302" t="str">
        <f>'1.Úvodní parametry'!$D$26</f>
        <v>Hodina/rok</v>
      </c>
      <c r="D142" s="252">
        <v>3</v>
      </c>
      <c r="E142" s="303">
        <f>VLOOKUP(D142,'1.Úvodní parametry'!$D$43:$E$45,2,FALSE)</f>
        <v>709</v>
      </c>
      <c r="F142" s="374">
        <v>0</v>
      </c>
      <c r="G142" s="304"/>
      <c r="H142" s="132"/>
      <c r="I142" s="152" t="s">
        <v>371</v>
      </c>
      <c r="J142" s="146">
        <f>E142*F142</f>
        <v>0</v>
      </c>
      <c r="K142" s="147">
        <f>E142*F142</f>
        <v>0</v>
      </c>
      <c r="L142" s="148">
        <f t="shared" ref="L142:L143" si="49">IF($L$4=$J$4,J142,K142)</f>
        <v>0</v>
      </c>
      <c r="N142" s="142" t="s">
        <v>372</v>
      </c>
    </row>
    <row r="143" spans="2:14" x14ac:dyDescent="0.3">
      <c r="B143" s="404" t="s">
        <v>370</v>
      </c>
      <c r="C143" s="309" t="str">
        <f>'1.Úvodní parametry'!$D$24</f>
        <v>Kč/rok</v>
      </c>
      <c r="D143" s="386"/>
      <c r="E143" s="303"/>
      <c r="F143" s="339">
        <v>0</v>
      </c>
      <c r="G143" s="304"/>
      <c r="H143" s="132"/>
      <c r="I143" s="152" t="s">
        <v>371</v>
      </c>
      <c r="J143" s="146">
        <f>IF($J$4='1.Úvodní parametry'!$D$3,F143,F143/(1+$K$3))</f>
        <v>0</v>
      </c>
      <c r="K143" s="147">
        <f>IF($K$4='1.Úvodní parametry'!$D$3,F143,F143*(1+$K$3))</f>
        <v>0</v>
      </c>
      <c r="L143" s="148">
        <f t="shared" si="49"/>
        <v>0</v>
      </c>
      <c r="N143" s="142" t="s">
        <v>93</v>
      </c>
    </row>
    <row r="144" spans="2:14" x14ac:dyDescent="0.3">
      <c r="B144" s="404" t="s">
        <v>373</v>
      </c>
      <c r="C144" s="302" t="str">
        <f>'1.Úvodní parametry'!$D$26</f>
        <v>Hodina/rok</v>
      </c>
      <c r="D144" s="252">
        <v>3</v>
      </c>
      <c r="E144" s="303">
        <f>VLOOKUP(D144,'1.Úvodní parametry'!$D$43:$E$45,2,FALSE)</f>
        <v>709</v>
      </c>
      <c r="F144" s="424">
        <v>0</v>
      </c>
      <c r="G144" s="304"/>
      <c r="H144" s="132"/>
      <c r="I144" s="152" t="s">
        <v>374</v>
      </c>
      <c r="J144" s="146">
        <f>E144*F144</f>
        <v>0</v>
      </c>
      <c r="K144" s="147">
        <f>E144*F144</f>
        <v>0</v>
      </c>
      <c r="L144" s="148">
        <f t="shared" ref="L144:L145" si="50">IF($L$4=$J$4,J144,K144)</f>
        <v>0</v>
      </c>
      <c r="N144" s="142" t="s">
        <v>372</v>
      </c>
    </row>
    <row r="145" spans="2:14" x14ac:dyDescent="0.3">
      <c r="B145" s="404" t="s">
        <v>373</v>
      </c>
      <c r="C145" s="309" t="str">
        <f>'1.Úvodní parametry'!$D$24</f>
        <v>Kč/rok</v>
      </c>
      <c r="D145" s="386"/>
      <c r="E145" s="303"/>
      <c r="F145" s="339">
        <v>0</v>
      </c>
      <c r="G145" s="304"/>
      <c r="H145" s="132"/>
      <c r="I145" s="152" t="s">
        <v>374</v>
      </c>
      <c r="J145" s="146">
        <f>IF($J$4='1.Úvodní parametry'!$D$3,F145,F145/(1+$K$3))</f>
        <v>0</v>
      </c>
      <c r="K145" s="147">
        <f>IF($K$4='1.Úvodní parametry'!$D$3,F145,F145*(1+$K$3))</f>
        <v>0</v>
      </c>
      <c r="L145" s="148">
        <f t="shared" si="50"/>
        <v>0</v>
      </c>
      <c r="N145" s="142" t="s">
        <v>93</v>
      </c>
    </row>
    <row r="146" spans="2:14" x14ac:dyDescent="0.3">
      <c r="B146" s="404" t="s">
        <v>375</v>
      </c>
      <c r="C146" s="302" t="str">
        <f>'1.Úvodní parametry'!$D$26</f>
        <v>Hodina/rok</v>
      </c>
      <c r="D146" s="252">
        <v>2</v>
      </c>
      <c r="E146" s="303">
        <f>VLOOKUP(D146,'1.Úvodní parametry'!$D$43:$E$45,2,FALSE)</f>
        <v>657</v>
      </c>
      <c r="F146" s="374">
        <v>0</v>
      </c>
      <c r="G146" s="304" t="s">
        <v>376</v>
      </c>
      <c r="H146" s="132"/>
      <c r="I146" s="152" t="s">
        <v>377</v>
      </c>
      <c r="J146" s="146">
        <f>E146*F146</f>
        <v>0</v>
      </c>
      <c r="K146" s="147">
        <f>E146*F146</f>
        <v>0</v>
      </c>
      <c r="L146" s="148">
        <f t="shared" ref="L146:L147" si="51">IF($L$4=$J$4,J146,K146)</f>
        <v>0</v>
      </c>
      <c r="N146" s="142" t="s">
        <v>372</v>
      </c>
    </row>
    <row r="147" spans="2:14" ht="15" thickBot="1" x14ac:dyDescent="0.35">
      <c r="B147" s="512" t="s">
        <v>378</v>
      </c>
      <c r="C147" s="512" t="str">
        <f>'1.Úvodní parametry'!$D$24</f>
        <v>Kč/rok</v>
      </c>
      <c r="D147" s="312"/>
      <c r="E147" s="293"/>
      <c r="F147" s="341">
        <v>0</v>
      </c>
      <c r="G147" s="307" t="s">
        <v>376</v>
      </c>
      <c r="H147" s="132"/>
      <c r="I147" s="152" t="s">
        <v>377</v>
      </c>
      <c r="J147" s="146">
        <f>IF($J$4='1.Úvodní parametry'!$D$3,F147,F147/(1+$K$3))</f>
        <v>0</v>
      </c>
      <c r="K147" s="147">
        <f>IF($K$4='1.Úvodní parametry'!$D$3,F147,F147*(1+$K$3))</f>
        <v>0</v>
      </c>
      <c r="L147" s="148">
        <f t="shared" si="51"/>
        <v>0</v>
      </c>
      <c r="N147" s="142" t="s">
        <v>93</v>
      </c>
    </row>
    <row r="148" spans="2:14" ht="15" thickTop="1" x14ac:dyDescent="0.3">
      <c r="B148" s="510"/>
      <c r="C148" s="510"/>
      <c r="D148" s="510"/>
      <c r="E148" s="510"/>
      <c r="F148" s="511"/>
      <c r="N148" s="142" t="s">
        <v>93</v>
      </c>
    </row>
    <row r="149" spans="2:14" x14ac:dyDescent="0.3">
      <c r="B149" s="271" t="s">
        <v>379</v>
      </c>
      <c r="C149" s="268" t="s">
        <v>30</v>
      </c>
      <c r="D149" s="364" t="s">
        <v>239</v>
      </c>
      <c r="E149" s="297"/>
      <c r="F149" s="270" t="s">
        <v>42</v>
      </c>
      <c r="G149" s="271" t="s">
        <v>19</v>
      </c>
      <c r="H149" s="132"/>
      <c r="I149" s="133"/>
      <c r="J149" s="143" t="s">
        <v>3</v>
      </c>
      <c r="K149" s="144" t="s">
        <v>43</v>
      </c>
      <c r="L149" s="145" t="str">
        <f>'4. Kalkulace TCO a Porovnání'!$J$5</f>
        <v>v Kč včetně DPH</v>
      </c>
      <c r="N149" s="142" t="s">
        <v>93</v>
      </c>
    </row>
    <row r="150" spans="2:14" x14ac:dyDescent="0.3">
      <c r="B150" s="404" t="s">
        <v>380</v>
      </c>
      <c r="C150" s="302" t="str">
        <f>'1.Úvodní parametry'!$D$34</f>
        <v>Hodina</v>
      </c>
      <c r="D150" s="252">
        <v>3</v>
      </c>
      <c r="E150" s="303">
        <f>VLOOKUP(D150,'1.Úvodní parametry'!$D$43:$E$45,2,FALSE)</f>
        <v>709</v>
      </c>
      <c r="F150" s="374">
        <v>0</v>
      </c>
      <c r="G150" s="304"/>
      <c r="H150" s="132"/>
      <c r="I150" s="152" t="s">
        <v>381</v>
      </c>
      <c r="J150" s="146">
        <f>E150*F150</f>
        <v>0</v>
      </c>
      <c r="K150" s="147">
        <f>E150*F150</f>
        <v>0</v>
      </c>
      <c r="L150" s="148">
        <f t="shared" ref="L150" si="52">IF($L$4=$J$4,J150,K150)</f>
        <v>0</v>
      </c>
      <c r="N150" s="142" t="s">
        <v>352</v>
      </c>
    </row>
    <row r="151" spans="2:14" x14ac:dyDescent="0.3">
      <c r="B151" s="404" t="s">
        <v>380</v>
      </c>
      <c r="C151" s="308" t="str">
        <f>JenotkaMěny</f>
        <v>Kč</v>
      </c>
      <c r="D151" s="386"/>
      <c r="E151" s="303"/>
      <c r="F151" s="339">
        <v>0</v>
      </c>
      <c r="G151" s="304"/>
      <c r="H151" s="132"/>
      <c r="I151" s="152" t="s">
        <v>381</v>
      </c>
      <c r="J151" s="146">
        <f>IF($J$4='1.Úvodní parametry'!$D$3,F151,F151/(1+$K$3))</f>
        <v>0</v>
      </c>
      <c r="K151" s="147">
        <f>IF($K$4='1.Úvodní parametry'!$D$3,F151,F151*(1+$K$3))</f>
        <v>0</v>
      </c>
      <c r="L151" s="148">
        <f t="shared" ref="L151:L152" si="53">IF($L$4=$J$4,J151,K151)</f>
        <v>0</v>
      </c>
      <c r="N151" s="142" t="s">
        <v>93</v>
      </c>
    </row>
    <row r="152" spans="2:14" x14ac:dyDescent="0.3">
      <c r="B152" s="404" t="s">
        <v>382</v>
      </c>
      <c r="C152" s="302" t="str">
        <f>'1.Úvodní parametry'!$D$34</f>
        <v>Hodina</v>
      </c>
      <c r="D152" s="252">
        <v>3</v>
      </c>
      <c r="E152" s="303">
        <f>VLOOKUP(D152,'1.Úvodní parametry'!$D$43:$E$45,2,FALSE)</f>
        <v>709</v>
      </c>
      <c r="F152" s="374">
        <v>0</v>
      </c>
      <c r="G152" s="304"/>
      <c r="H152" s="132"/>
      <c r="I152" s="152" t="s">
        <v>383</v>
      </c>
      <c r="J152" s="146">
        <f>E152*F152</f>
        <v>0</v>
      </c>
      <c r="K152" s="147">
        <f>E152*F152</f>
        <v>0</v>
      </c>
      <c r="L152" s="148">
        <f t="shared" si="53"/>
        <v>0</v>
      </c>
      <c r="N152" s="142" t="s">
        <v>352</v>
      </c>
    </row>
    <row r="153" spans="2:14" x14ac:dyDescent="0.3">
      <c r="B153" s="404" t="s">
        <v>382</v>
      </c>
      <c r="C153" s="308" t="str">
        <f>JenotkaMěny</f>
        <v>Kč</v>
      </c>
      <c r="D153" s="386"/>
      <c r="E153" s="303"/>
      <c r="F153" s="339">
        <v>0</v>
      </c>
      <c r="G153" s="304"/>
      <c r="H153" s="132"/>
      <c r="I153" s="152" t="s">
        <v>383</v>
      </c>
      <c r="J153" s="146">
        <f>IF($J$4='1.Úvodní parametry'!$D$3,F153,F153/(1+$K$3))</f>
        <v>0</v>
      </c>
      <c r="K153" s="147">
        <f>IF($K$4='1.Úvodní parametry'!$D$3,F153,F153*(1+$K$3))</f>
        <v>0</v>
      </c>
      <c r="L153" s="148">
        <f t="shared" ref="L153:L154" si="54">IF($L$4=$J$4,J153,K153)</f>
        <v>0</v>
      </c>
      <c r="N153" s="142" t="s">
        <v>93</v>
      </c>
    </row>
    <row r="154" spans="2:14" x14ac:dyDescent="0.3">
      <c r="B154" s="404" t="s">
        <v>384</v>
      </c>
      <c r="C154" s="302" t="str">
        <f>'1.Úvodní parametry'!$D$34</f>
        <v>Hodina</v>
      </c>
      <c r="D154" s="252">
        <v>2</v>
      </c>
      <c r="E154" s="303">
        <f>VLOOKUP(D154,'1.Úvodní parametry'!$D$43:$E$45,2,FALSE)</f>
        <v>657</v>
      </c>
      <c r="F154" s="374">
        <v>0</v>
      </c>
      <c r="G154" s="304"/>
      <c r="H154" s="132"/>
      <c r="I154" s="152" t="s">
        <v>385</v>
      </c>
      <c r="J154" s="146">
        <f>E154*F154</f>
        <v>0</v>
      </c>
      <c r="K154" s="147">
        <f>E154*F154</f>
        <v>0</v>
      </c>
      <c r="L154" s="148">
        <f t="shared" si="54"/>
        <v>0</v>
      </c>
      <c r="N154" s="142" t="s">
        <v>352</v>
      </c>
    </row>
    <row r="155" spans="2:14" x14ac:dyDescent="0.3">
      <c r="B155" s="404" t="s">
        <v>384</v>
      </c>
      <c r="C155" s="308" t="str">
        <f>JenotkaMěny</f>
        <v>Kč</v>
      </c>
      <c r="D155" s="386"/>
      <c r="E155" s="303"/>
      <c r="F155" s="253">
        <v>0</v>
      </c>
      <c r="G155" s="304"/>
      <c r="H155" s="132"/>
      <c r="I155" s="152" t="s">
        <v>385</v>
      </c>
      <c r="J155" s="146">
        <f>IF($J$4='1.Úvodní parametry'!$D$3,F155,F155/(1+$K$3))</f>
        <v>0</v>
      </c>
      <c r="K155" s="147">
        <f>IF($K$4='1.Úvodní parametry'!$D$3,F155,F155*(1+$K$3))</f>
        <v>0</v>
      </c>
      <c r="L155" s="148">
        <f t="shared" ref="L155" si="55">IF($L$4=$J$4,J155,K155)</f>
        <v>0</v>
      </c>
      <c r="N155" s="142" t="s">
        <v>93</v>
      </c>
    </row>
    <row r="156" spans="2:14" ht="19.2" x14ac:dyDescent="0.3">
      <c r="B156" s="406"/>
      <c r="C156" s="407"/>
      <c r="D156" s="408" t="s">
        <v>12</v>
      </c>
      <c r="E156" s="409"/>
      <c r="F156" s="410"/>
      <c r="G156" s="411"/>
      <c r="H156" s="132"/>
      <c r="I156" s="133"/>
      <c r="N156" s="142" t="s">
        <v>93</v>
      </c>
    </row>
    <row r="157" spans="2:14" ht="24" customHeight="1" thickBot="1" x14ac:dyDescent="0.35">
      <c r="B157" s="390" t="s">
        <v>314</v>
      </c>
      <c r="C157" s="431"/>
      <c r="D157" s="235" t="str">
        <f>'1.Úvodní parametry'!$D$13</f>
        <v>NE</v>
      </c>
      <c r="E157" s="432"/>
      <c r="F157" s="433"/>
      <c r="G157" s="392" t="s">
        <v>359</v>
      </c>
      <c r="H157" s="132"/>
      <c r="I157" s="208"/>
      <c r="N157" s="142" t="s">
        <v>93</v>
      </c>
    </row>
    <row r="158" spans="2:14" ht="15.6" thickTop="1" thickBot="1" x14ac:dyDescent="0.35">
      <c r="B158" s="510"/>
      <c r="C158" s="510"/>
      <c r="D158" s="510"/>
      <c r="E158" s="510"/>
      <c r="F158" s="511"/>
      <c r="N158" s="142" t="s">
        <v>93</v>
      </c>
    </row>
    <row r="159" spans="2:14" ht="28.2" thickBot="1" x14ac:dyDescent="0.35">
      <c r="B159" s="443" t="s">
        <v>391</v>
      </c>
      <c r="C159" s="266" t="s">
        <v>30</v>
      </c>
      <c r="D159" s="266"/>
      <c r="E159" s="266"/>
      <c r="F159" s="266" t="s">
        <v>392</v>
      </c>
      <c r="G159" s="266" t="s">
        <v>19</v>
      </c>
      <c r="H159" s="132"/>
      <c r="I159" s="214"/>
      <c r="J159" s="143" t="s">
        <v>3</v>
      </c>
      <c r="K159" s="144" t="s">
        <v>43</v>
      </c>
      <c r="L159" s="145" t="str">
        <f>'4. Kalkulace TCO a Porovnání'!$J$5</f>
        <v>v Kč včetně DPH</v>
      </c>
      <c r="M159" s="134"/>
      <c r="N159" s="142" t="s">
        <v>93</v>
      </c>
    </row>
    <row r="160" spans="2:14" ht="27.6" x14ac:dyDescent="0.3">
      <c r="B160" s="445" t="s">
        <v>393</v>
      </c>
      <c r="C160" s="513" t="s">
        <v>707</v>
      </c>
      <c r="D160" s="282"/>
      <c r="E160" s="447"/>
      <c r="F160" s="270" t="s">
        <v>42</v>
      </c>
      <c r="G160" s="448" t="s">
        <v>394</v>
      </c>
      <c r="H160" s="132"/>
      <c r="I160" s="214"/>
      <c r="J160" s="211"/>
      <c r="K160" s="212"/>
      <c r="L160" s="148"/>
      <c r="M160" s="134"/>
      <c r="N160" s="142" t="s">
        <v>93</v>
      </c>
    </row>
    <row r="161" spans="2:14" x14ac:dyDescent="0.3">
      <c r="B161" s="449" t="s">
        <v>395</v>
      </c>
      <c r="C161" s="450" t="s">
        <v>77</v>
      </c>
      <c r="D161" s="449"/>
      <c r="E161" s="449"/>
      <c r="F161" s="71">
        <v>0</v>
      </c>
      <c r="G161" s="449" t="s">
        <v>705</v>
      </c>
      <c r="H161" s="132"/>
      <c r="I161" s="215" t="s">
        <v>396</v>
      </c>
      <c r="J161" s="160">
        <f>ROUND(IF('1.Úvodní parametry'!$D$3=$J$159,F161,F161/(1+$K$3)),0)</f>
        <v>0</v>
      </c>
      <c r="K161" s="161">
        <f>ROUND(IF('1.Úvodní parametry'!$D$3=$K$159,F161,F161*(1+$K$3)),0)</f>
        <v>0</v>
      </c>
      <c r="L161" s="148">
        <f>IF($L$159=$J$159,J161,K161)</f>
        <v>0</v>
      </c>
      <c r="M161" s="134"/>
      <c r="N161" s="142" t="s">
        <v>93</v>
      </c>
    </row>
    <row r="162" spans="2:14" x14ac:dyDescent="0.3">
      <c r="B162" s="449" t="s">
        <v>397</v>
      </c>
      <c r="C162" s="450" t="s">
        <v>77</v>
      </c>
      <c r="D162" s="449"/>
      <c r="E162" s="449"/>
      <c r="F162" s="71">
        <v>0</v>
      </c>
      <c r="G162" s="449" t="s">
        <v>398</v>
      </c>
      <c r="H162" s="132"/>
      <c r="I162" s="214"/>
      <c r="J162" s="160">
        <f>ROUND(IF('1.Úvodní parametry'!$D$3=$J$159,F162,F162/(1+$K$3)),0)</f>
        <v>0</v>
      </c>
      <c r="K162" s="161">
        <f>ROUND(IF('1.Úvodní parametry'!$D$3=$K$159,F162,F162*(1+$K$3)),0)</f>
        <v>0</v>
      </c>
      <c r="L162" s="148">
        <f t="shared" ref="L162:L170" si="56">IF($L$159=$J$159,J162,K162)</f>
        <v>0</v>
      </c>
      <c r="M162" s="134"/>
      <c r="N162" s="142" t="s">
        <v>93</v>
      </c>
    </row>
    <row r="163" spans="2:14" x14ac:dyDescent="0.3">
      <c r="B163" s="449" t="s">
        <v>399</v>
      </c>
      <c r="C163" s="450" t="s">
        <v>79</v>
      </c>
      <c r="D163" s="449"/>
      <c r="E163" s="449"/>
      <c r="F163" s="71">
        <v>0</v>
      </c>
      <c r="G163" s="449" t="s">
        <v>400</v>
      </c>
      <c r="H163" s="132"/>
      <c r="I163" s="214"/>
      <c r="J163" s="160">
        <f>ROUND(IF('1.Úvodní parametry'!$D$3=$J$159,F163,F163/(1+$K$3)),0)</f>
        <v>0</v>
      </c>
      <c r="K163" s="161">
        <f>ROUND(IF('1.Úvodní parametry'!$D$3=$K$159,F163,F163*(1+$K$3)),0)</f>
        <v>0</v>
      </c>
      <c r="L163" s="148">
        <f t="shared" si="56"/>
        <v>0</v>
      </c>
      <c r="M163" s="134"/>
      <c r="N163" s="142" t="s">
        <v>93</v>
      </c>
    </row>
    <row r="164" spans="2:14" x14ac:dyDescent="0.3">
      <c r="B164" s="449" t="s">
        <v>401</v>
      </c>
      <c r="C164" s="450" t="s">
        <v>77</v>
      </c>
      <c r="D164" s="449"/>
      <c r="E164" s="449"/>
      <c r="F164" s="71">
        <v>0</v>
      </c>
      <c r="G164" s="449"/>
      <c r="H164" s="132"/>
      <c r="I164" s="214"/>
      <c r="J164" s="160">
        <f>ROUND(IF('1.Úvodní parametry'!$D$3=$J$159,F164,F164/(1+$K$3)),0)</f>
        <v>0</v>
      </c>
      <c r="K164" s="161">
        <f>ROUND(IF('1.Úvodní parametry'!$D$3=$K$159,F164,F164*(1+$K$3)),0)</f>
        <v>0</v>
      </c>
      <c r="L164" s="148">
        <f t="shared" si="56"/>
        <v>0</v>
      </c>
      <c r="M164" s="134"/>
      <c r="N164" s="142" t="s">
        <v>93</v>
      </c>
    </row>
    <row r="165" spans="2:14" x14ac:dyDescent="0.3">
      <c r="B165" s="449" t="s">
        <v>402</v>
      </c>
      <c r="C165" s="450" t="s">
        <v>79</v>
      </c>
      <c r="D165" s="449"/>
      <c r="E165" s="449"/>
      <c r="F165" s="71">
        <v>0</v>
      </c>
      <c r="G165" s="449" t="s">
        <v>403</v>
      </c>
      <c r="H165" s="132"/>
      <c r="I165" s="214"/>
      <c r="J165" s="160">
        <f>ROUND(IF('1.Úvodní parametry'!$D$3=$J$159,F165,F165/(1+$K$3)),0)</f>
        <v>0</v>
      </c>
      <c r="K165" s="161">
        <f>ROUND(IF('1.Úvodní parametry'!$D$3=$K$159,F165,F165*(1+$K$3)),0)</f>
        <v>0</v>
      </c>
      <c r="L165" s="148">
        <f t="shared" si="56"/>
        <v>0</v>
      </c>
      <c r="M165" s="134"/>
      <c r="N165" s="142" t="s">
        <v>93</v>
      </c>
    </row>
    <row r="166" spans="2:14" x14ac:dyDescent="0.3">
      <c r="B166" s="449" t="s">
        <v>404</v>
      </c>
      <c r="C166" s="450" t="s">
        <v>77</v>
      </c>
      <c r="D166" s="449"/>
      <c r="E166" s="449"/>
      <c r="F166" s="71">
        <v>0</v>
      </c>
      <c r="G166" s="449"/>
      <c r="H166" s="132"/>
      <c r="I166" s="214"/>
      <c r="J166" s="160">
        <f>ROUND(IF('1.Úvodní parametry'!$D$3=$J$159,F166,F166/(1+$K$3)),0)</f>
        <v>0</v>
      </c>
      <c r="K166" s="161">
        <f>ROUND(IF('1.Úvodní parametry'!$D$3=$K$159,F166,F166*(1+$K$3)),0)</f>
        <v>0</v>
      </c>
      <c r="L166" s="148">
        <f t="shared" si="56"/>
        <v>0</v>
      </c>
      <c r="M166" s="134"/>
      <c r="N166" s="142" t="s">
        <v>93</v>
      </c>
    </row>
    <row r="167" spans="2:14" x14ac:dyDescent="0.3">
      <c r="B167" s="449" t="s">
        <v>405</v>
      </c>
      <c r="C167" s="450" t="s">
        <v>77</v>
      </c>
      <c r="D167" s="449"/>
      <c r="E167" s="449"/>
      <c r="F167" s="71">
        <v>0</v>
      </c>
      <c r="G167" s="449"/>
      <c r="H167" s="132"/>
      <c r="I167" s="214"/>
      <c r="J167" s="160">
        <f>ROUND(IF('1.Úvodní parametry'!$D$3=$J$159,F167,F167/(1+$K$3)),0)</f>
        <v>0</v>
      </c>
      <c r="K167" s="161">
        <f>ROUND(IF('1.Úvodní parametry'!$D$3=$K$159,F167,F167*(1+$K$3)),0)</f>
        <v>0</v>
      </c>
      <c r="L167" s="148">
        <f t="shared" si="56"/>
        <v>0</v>
      </c>
      <c r="M167" s="134"/>
      <c r="N167" s="142" t="s">
        <v>93</v>
      </c>
    </row>
    <row r="168" spans="2:14" x14ac:dyDescent="0.3">
      <c r="B168" s="449" t="s">
        <v>406</v>
      </c>
      <c r="C168" s="450" t="s">
        <v>77</v>
      </c>
      <c r="D168" s="449"/>
      <c r="E168" s="449"/>
      <c r="F168" s="71">
        <v>0</v>
      </c>
      <c r="G168" s="449"/>
      <c r="H168" s="132"/>
      <c r="I168" s="214"/>
      <c r="J168" s="160">
        <f>ROUND(IF('1.Úvodní parametry'!$D$3=$J$159,F168,F168/(1+$K$3)),0)</f>
        <v>0</v>
      </c>
      <c r="K168" s="161">
        <f>ROUND(IF('1.Úvodní parametry'!$D$3=$K$159,F168,F168*(1+$K$3)),0)</f>
        <v>0</v>
      </c>
      <c r="L168" s="148">
        <f t="shared" si="56"/>
        <v>0</v>
      </c>
      <c r="M168" s="134"/>
      <c r="N168" s="142" t="s">
        <v>93</v>
      </c>
    </row>
    <row r="169" spans="2:14" x14ac:dyDescent="0.3">
      <c r="B169" s="449" t="s">
        <v>407</v>
      </c>
      <c r="C169" s="450" t="s">
        <v>77</v>
      </c>
      <c r="D169" s="449"/>
      <c r="E169" s="449"/>
      <c r="F169" s="71">
        <v>0</v>
      </c>
      <c r="G169" s="449"/>
      <c r="H169" s="132"/>
      <c r="I169" s="214"/>
      <c r="J169" s="160">
        <f>ROUND(IF('1.Úvodní parametry'!$D$3=$J$159,F169,F169/(1+$K$3)),0)</f>
        <v>0</v>
      </c>
      <c r="K169" s="161">
        <f>ROUND(IF('1.Úvodní parametry'!$D$3=$K$159,F169,F169*(1+$K$3)),0)</f>
        <v>0</v>
      </c>
      <c r="L169" s="148">
        <f t="shared" si="56"/>
        <v>0</v>
      </c>
      <c r="M169" s="134"/>
      <c r="N169" s="142" t="s">
        <v>93</v>
      </c>
    </row>
    <row r="170" spans="2:14" ht="15" thickBot="1" x14ac:dyDescent="0.35">
      <c r="B170" s="449" t="s">
        <v>408</v>
      </c>
      <c r="C170" s="450" t="s">
        <v>77</v>
      </c>
      <c r="D170" s="449"/>
      <c r="E170" s="449"/>
      <c r="F170" s="71">
        <v>0</v>
      </c>
      <c r="G170" s="449"/>
      <c r="H170" s="132"/>
      <c r="I170" s="214"/>
      <c r="J170" s="160">
        <f>ROUND(IF('1.Úvodní parametry'!$D$3=$J$159,F170,F170/(1+$K$3)),0)</f>
        <v>0</v>
      </c>
      <c r="K170" s="161">
        <f>ROUND(IF('1.Úvodní parametry'!$D$3=$K$159,F170,F170*(1+$K$3)),0)</f>
        <v>0</v>
      </c>
      <c r="L170" s="148">
        <f t="shared" si="56"/>
        <v>0</v>
      </c>
      <c r="M170" s="134"/>
      <c r="N170" s="142" t="s">
        <v>93</v>
      </c>
    </row>
    <row r="171" spans="2:14" ht="26.4" customHeight="1" thickTop="1" x14ac:dyDescent="0.3">
      <c r="B171" s="451" t="s">
        <v>409</v>
      </c>
      <c r="C171" s="514" t="s">
        <v>707</v>
      </c>
      <c r="D171" s="453"/>
      <c r="E171" s="454"/>
      <c r="F171" s="455" t="s">
        <v>42</v>
      </c>
      <c r="G171" s="456" t="s">
        <v>464</v>
      </c>
      <c r="H171" s="132"/>
      <c r="I171" s="214"/>
      <c r="J171" s="143" t="s">
        <v>3</v>
      </c>
      <c r="K171" s="144" t="s">
        <v>43</v>
      </c>
      <c r="L171" s="536" t="str">
        <f>IF($L$237=$J$237,J171,K171)</f>
        <v>v Kč bez DPH</v>
      </c>
      <c r="M171" s="134"/>
      <c r="N171" s="142" t="s">
        <v>93</v>
      </c>
    </row>
    <row r="172" spans="2:14" x14ac:dyDescent="0.3">
      <c r="B172" s="449" t="s">
        <v>411</v>
      </c>
      <c r="C172" s="450" t="s">
        <v>77</v>
      </c>
      <c r="D172" s="449"/>
      <c r="E172" s="449"/>
      <c r="F172" s="71">
        <v>0</v>
      </c>
      <c r="G172" s="449" t="s">
        <v>706</v>
      </c>
      <c r="H172" s="132"/>
      <c r="I172" s="215" t="s">
        <v>412</v>
      </c>
      <c r="J172" s="146">
        <f t="shared" ref="J172" si="57">F172</f>
        <v>0</v>
      </c>
      <c r="K172" s="147">
        <f t="shared" ref="K172" si="58">F172</f>
        <v>0</v>
      </c>
      <c r="L172" s="148">
        <f>IF($L$159=$J$159,J172,K172)</f>
        <v>0</v>
      </c>
      <c r="M172" s="134"/>
      <c r="N172" s="142" t="s">
        <v>93</v>
      </c>
    </row>
    <row r="173" spans="2:14" x14ac:dyDescent="0.3">
      <c r="B173" s="449" t="s">
        <v>413</v>
      </c>
      <c r="C173" s="450" t="s">
        <v>79</v>
      </c>
      <c r="D173" s="449"/>
      <c r="E173" s="449"/>
      <c r="F173" s="71">
        <v>0</v>
      </c>
      <c r="G173" s="449"/>
      <c r="H173" s="132"/>
      <c r="I173" s="214"/>
      <c r="J173" s="146">
        <f t="shared" ref="J173:J181" si="59">F173</f>
        <v>0</v>
      </c>
      <c r="K173" s="147">
        <f t="shared" ref="K173:K181" si="60">F173</f>
        <v>0</v>
      </c>
      <c r="L173" s="148">
        <f t="shared" ref="L173:L181" si="61">IF($L$159=$J$159,J173,K173)</f>
        <v>0</v>
      </c>
      <c r="M173" s="134"/>
      <c r="N173" s="142" t="s">
        <v>93</v>
      </c>
    </row>
    <row r="174" spans="2:14" x14ac:dyDescent="0.3">
      <c r="B174" s="449" t="s">
        <v>414</v>
      </c>
      <c r="C174" s="450" t="s">
        <v>77</v>
      </c>
      <c r="D174" s="449"/>
      <c r="E174" s="449"/>
      <c r="F174" s="71">
        <v>0</v>
      </c>
      <c r="G174" s="449" t="s">
        <v>415</v>
      </c>
      <c r="H174" s="132"/>
      <c r="I174" s="214"/>
      <c r="J174" s="146">
        <f t="shared" si="59"/>
        <v>0</v>
      </c>
      <c r="K174" s="147">
        <f t="shared" si="60"/>
        <v>0</v>
      </c>
      <c r="L174" s="148">
        <f t="shared" si="61"/>
        <v>0</v>
      </c>
      <c r="M174" s="134"/>
      <c r="N174" s="142" t="s">
        <v>93</v>
      </c>
    </row>
    <row r="175" spans="2:14" x14ac:dyDescent="0.3">
      <c r="B175" s="449" t="s">
        <v>416</v>
      </c>
      <c r="C175" s="450" t="s">
        <v>77</v>
      </c>
      <c r="D175" s="449"/>
      <c r="E175" s="449"/>
      <c r="F175" s="71">
        <v>0</v>
      </c>
      <c r="G175" s="449"/>
      <c r="H175" s="132"/>
      <c r="I175" s="214"/>
      <c r="J175" s="146">
        <f t="shared" si="59"/>
        <v>0</v>
      </c>
      <c r="K175" s="147">
        <f t="shared" si="60"/>
        <v>0</v>
      </c>
      <c r="L175" s="148">
        <f t="shared" si="61"/>
        <v>0</v>
      </c>
      <c r="M175" s="134"/>
      <c r="N175" s="142" t="s">
        <v>93</v>
      </c>
    </row>
    <row r="176" spans="2:14" x14ac:dyDescent="0.3">
      <c r="B176" s="449" t="s">
        <v>417</v>
      </c>
      <c r="C176" s="450" t="s">
        <v>77</v>
      </c>
      <c r="D176" s="449"/>
      <c r="E176" s="449"/>
      <c r="F176" s="71">
        <v>0</v>
      </c>
      <c r="G176" s="449"/>
      <c r="H176" s="132"/>
      <c r="I176" s="214"/>
      <c r="J176" s="146">
        <f t="shared" si="59"/>
        <v>0</v>
      </c>
      <c r="K176" s="147">
        <f t="shared" si="60"/>
        <v>0</v>
      </c>
      <c r="L176" s="148">
        <f t="shared" si="61"/>
        <v>0</v>
      </c>
      <c r="M176" s="134"/>
      <c r="N176" s="142" t="s">
        <v>93</v>
      </c>
    </row>
    <row r="177" spans="2:15" x14ac:dyDescent="0.3">
      <c r="B177" s="449" t="s">
        <v>418</v>
      </c>
      <c r="C177" s="450" t="s">
        <v>77</v>
      </c>
      <c r="D177" s="449"/>
      <c r="E177" s="449"/>
      <c r="F177" s="71">
        <v>0</v>
      </c>
      <c r="G177" s="449"/>
      <c r="H177" s="132"/>
      <c r="I177" s="214"/>
      <c r="J177" s="146">
        <f t="shared" si="59"/>
        <v>0</v>
      </c>
      <c r="K177" s="147">
        <f t="shared" si="60"/>
        <v>0</v>
      </c>
      <c r="L177" s="148">
        <f t="shared" si="61"/>
        <v>0</v>
      </c>
      <c r="M177" s="134"/>
      <c r="N177" s="142" t="s">
        <v>93</v>
      </c>
    </row>
    <row r="178" spans="2:15" x14ac:dyDescent="0.3">
      <c r="B178" s="449" t="s">
        <v>419</v>
      </c>
      <c r="C178" s="450" t="s">
        <v>77</v>
      </c>
      <c r="D178" s="449"/>
      <c r="E178" s="449"/>
      <c r="F178" s="71">
        <v>0</v>
      </c>
      <c r="G178" s="449"/>
      <c r="H178" s="132"/>
      <c r="I178" s="214"/>
      <c r="J178" s="146">
        <f t="shared" si="59"/>
        <v>0</v>
      </c>
      <c r="K178" s="147">
        <f t="shared" si="60"/>
        <v>0</v>
      </c>
      <c r="L178" s="148">
        <f t="shared" si="61"/>
        <v>0</v>
      </c>
      <c r="M178" s="134"/>
      <c r="N178" s="142" t="s">
        <v>93</v>
      </c>
    </row>
    <row r="179" spans="2:15" x14ac:dyDescent="0.3">
      <c r="B179" s="449" t="s">
        <v>420</v>
      </c>
      <c r="C179" s="450" t="s">
        <v>77</v>
      </c>
      <c r="D179" s="449"/>
      <c r="E179" s="449"/>
      <c r="F179" s="71">
        <v>0</v>
      </c>
      <c r="G179" s="449"/>
      <c r="H179" s="132"/>
      <c r="I179" s="214"/>
      <c r="J179" s="146">
        <f t="shared" si="59"/>
        <v>0</v>
      </c>
      <c r="K179" s="147">
        <f t="shared" si="60"/>
        <v>0</v>
      </c>
      <c r="L179" s="148">
        <f t="shared" si="61"/>
        <v>0</v>
      </c>
      <c r="M179" s="134"/>
      <c r="N179" s="142" t="s">
        <v>93</v>
      </c>
    </row>
    <row r="180" spans="2:15" x14ac:dyDescent="0.3">
      <c r="B180" s="449" t="s">
        <v>421</v>
      </c>
      <c r="C180" s="450" t="s">
        <v>77</v>
      </c>
      <c r="D180" s="449"/>
      <c r="E180" s="449"/>
      <c r="F180" s="71">
        <v>0</v>
      </c>
      <c r="G180" s="449"/>
      <c r="H180" s="132"/>
      <c r="I180" s="214"/>
      <c r="J180" s="146">
        <f t="shared" si="59"/>
        <v>0</v>
      </c>
      <c r="K180" s="147">
        <f t="shared" si="60"/>
        <v>0</v>
      </c>
      <c r="L180" s="148">
        <f t="shared" si="61"/>
        <v>0</v>
      </c>
      <c r="M180" s="134"/>
      <c r="N180" s="142" t="s">
        <v>93</v>
      </c>
    </row>
    <row r="181" spans="2:15" ht="15" thickBot="1" x14ac:dyDescent="0.35">
      <c r="B181" s="457" t="s">
        <v>422</v>
      </c>
      <c r="C181" s="458" t="s">
        <v>77</v>
      </c>
      <c r="D181" s="457"/>
      <c r="E181" s="457"/>
      <c r="F181" s="72">
        <v>0</v>
      </c>
      <c r="G181" s="457"/>
      <c r="H181" s="132"/>
      <c r="I181" s="214"/>
      <c r="J181" s="146">
        <f t="shared" si="59"/>
        <v>0</v>
      </c>
      <c r="K181" s="147">
        <f t="shared" si="60"/>
        <v>0</v>
      </c>
      <c r="L181" s="148">
        <f t="shared" si="61"/>
        <v>0</v>
      </c>
      <c r="M181" s="134"/>
      <c r="N181" s="142" t="s">
        <v>93</v>
      </c>
    </row>
    <row r="182" spans="2:15" ht="19.8" thickTop="1" x14ac:dyDescent="0.3">
      <c r="B182" s="451"/>
      <c r="C182" s="459"/>
      <c r="D182" s="453" t="s">
        <v>9</v>
      </c>
      <c r="E182" s="454"/>
      <c r="F182" s="454"/>
      <c r="G182" s="460"/>
      <c r="H182" s="132"/>
      <c r="I182" s="214"/>
      <c r="J182" s="216"/>
      <c r="K182" s="216"/>
      <c r="L182" s="216"/>
      <c r="M182" s="134"/>
      <c r="N182" s="142" t="s">
        <v>93</v>
      </c>
    </row>
    <row r="183" spans="2:15" ht="28.2" thickBot="1" x14ac:dyDescent="0.35">
      <c r="B183" s="390" t="s">
        <v>423</v>
      </c>
      <c r="C183" s="391"/>
      <c r="D183" s="235" t="str">
        <f>'1.Úvodní parametry'!$D$10</f>
        <v>NE</v>
      </c>
      <c r="E183" s="391"/>
      <c r="F183" s="396"/>
      <c r="G183" s="392" t="s">
        <v>315</v>
      </c>
      <c r="H183" s="132"/>
      <c r="I183" s="214"/>
      <c r="J183" s="214"/>
      <c r="K183" s="214"/>
      <c r="L183" s="133"/>
      <c r="M183" s="134"/>
      <c r="N183" s="142" t="s">
        <v>93</v>
      </c>
    </row>
    <row r="184" spans="2:15" ht="15" thickTop="1" x14ac:dyDescent="0.3">
      <c r="B184" s="510"/>
      <c r="C184" s="510"/>
      <c r="D184" s="510"/>
      <c r="E184" s="510"/>
      <c r="F184" s="511"/>
      <c r="J184" s="217" t="s">
        <v>424</v>
      </c>
      <c r="K184" s="217"/>
      <c r="L184" s="217"/>
    </row>
    <row r="185" spans="2:15" x14ac:dyDescent="0.3">
      <c r="B185" s="464" t="s">
        <v>425</v>
      </c>
      <c r="J185" s="218" t="s">
        <v>3</v>
      </c>
      <c r="K185" s="219" t="s">
        <v>43</v>
      </c>
      <c r="L185" s="145" t="str">
        <f>'4. Kalkulace TCO a Porovnání'!$J$5</f>
        <v>v Kč včetně DPH</v>
      </c>
    </row>
    <row r="186" spans="2:15" x14ac:dyDescent="0.3">
      <c r="B186" s="468"/>
      <c r="C186" s="469" t="s">
        <v>426</v>
      </c>
      <c r="D186" s="469"/>
      <c r="E186" s="469"/>
      <c r="F186" s="470"/>
      <c r="J186" s="146">
        <f>SUMIFS(J161:J170,$C161:$C170,"Kč/rok")</f>
        <v>0</v>
      </c>
      <c r="K186" s="147">
        <f>SUMIFS(K161:K170,$C161:$C170,"Kč/rok")</f>
        <v>0</v>
      </c>
      <c r="L186" s="148">
        <f>IF($L$159=$J$159,J186,K186)</f>
        <v>0</v>
      </c>
      <c r="O186" s="537">
        <f>L186*DelkaProjektu+L189</f>
        <v>0</v>
      </c>
    </row>
    <row r="187" spans="2:15" x14ac:dyDescent="0.3">
      <c r="B187" s="468" t="s">
        <v>427</v>
      </c>
      <c r="C187" s="224" t="s">
        <v>428</v>
      </c>
      <c r="D187" s="225" t="s">
        <v>429</v>
      </c>
      <c r="E187" s="225"/>
      <c r="F187" s="224" t="s">
        <v>430</v>
      </c>
      <c r="J187" s="217" t="s">
        <v>431</v>
      </c>
      <c r="K187" s="217"/>
      <c r="L187" s="217"/>
    </row>
    <row r="188" spans="2:15" x14ac:dyDescent="0.3">
      <c r="B188" s="471" t="s">
        <v>249</v>
      </c>
      <c r="C188" s="226">
        <f>SUMIFS($F$6:$F$181,$N$6:$N$181,"provoz",$D$6:$D$181,"1")</f>
        <v>0</v>
      </c>
      <c r="D188" s="226">
        <f>SUMIFS($F$15:$F$181,$N$15:$N$181,"provoz",$D$15:$D$181,"2")</f>
        <v>0</v>
      </c>
      <c r="E188" s="227"/>
      <c r="F188" s="226">
        <f>SUMIFS($F$15:$F$181,$N$15:$N$181,"provoz",$D$15:$D$181,"3")</f>
        <v>0</v>
      </c>
      <c r="J188" s="218" t="s">
        <v>3</v>
      </c>
      <c r="K188" s="219" t="s">
        <v>43</v>
      </c>
      <c r="L188" s="145" t="str">
        <f>'4. Kalkulace TCO a Porovnání'!$J$5</f>
        <v>v Kč včetně DPH</v>
      </c>
    </row>
    <row r="189" spans="2:15" ht="15" thickBot="1" x14ac:dyDescent="0.35">
      <c r="B189" s="471" t="s">
        <v>432</v>
      </c>
      <c r="C189" s="226">
        <f>SUMIFS($F$15:$F$181,$N$15:$N$181,"úpravy",$D$15:$D$181,"1")</f>
        <v>0</v>
      </c>
      <c r="D189" s="226">
        <f>SUMIFS($F$15:$F$181,$N$15:$N$181,"úpravy",$D$15:$D$181,"2")</f>
        <v>0</v>
      </c>
      <c r="E189" s="226"/>
      <c r="F189" s="226">
        <f>SUMIFS($F$15:$F$181,$N$15:$N$181,"úpravy",$D$15:$D$181,"3")</f>
        <v>0</v>
      </c>
      <c r="J189" s="146">
        <f>SUMIFS(J161:J170,$C161:$C170,"Kč/jednorázově")</f>
        <v>0</v>
      </c>
      <c r="K189" s="147">
        <f>SUMIFS(K161:K170,$C161:$C170,"Kč/jednorázově")</f>
        <v>0</v>
      </c>
      <c r="L189" s="148">
        <f>IF($L$159=$J$159,J189,K189)</f>
        <v>0</v>
      </c>
    </row>
    <row r="190" spans="2:15" ht="15.6" thickTop="1" thickBot="1" x14ac:dyDescent="0.35">
      <c r="B190" s="471" t="s">
        <v>433</v>
      </c>
      <c r="C190" s="226">
        <f>SUMIFS($F$15:$F$181,$N$15:$N$181,"provoz KB",$D$15:$D$181,"1")</f>
        <v>0</v>
      </c>
      <c r="D190" s="226">
        <f>SUMIFS($F$15:$F$181,$N$15:$N$181,"provoz KB",$D$15:$D$181,"2")</f>
        <v>0</v>
      </c>
      <c r="E190" s="226"/>
      <c r="F190" s="226">
        <f>SUMIFS($F$15:$F$181,$N$15:$N$181,"provoz KB",$D$15:$D$181,"3")</f>
        <v>0</v>
      </c>
      <c r="J190" s="538"/>
      <c r="K190" s="538"/>
      <c r="L190" s="539">
        <f>IF(D183="ANO",L186,L186+L189/DelkaProjektu)</f>
        <v>0</v>
      </c>
    </row>
    <row r="191" spans="2:15" ht="15" thickTop="1" x14ac:dyDescent="0.3">
      <c r="B191" s="471" t="s">
        <v>372</v>
      </c>
      <c r="C191" s="226">
        <f>SUMIFS($F$15:$F$181,$N$15:$N$181,"provoz zvýšené náklady",$D$15:$D$181,"1")</f>
        <v>0</v>
      </c>
      <c r="D191" s="226">
        <f>SUMIFS($F$15:$F$181,$N$15:$N$181,"provoz zvýšené náklady",$D$15:$D$181,"2")</f>
        <v>0</v>
      </c>
      <c r="E191" s="227"/>
      <c r="F191" s="226">
        <f>SUMIFS($F$15:$F$181,$N$15:$N$181,"provoz zvýšené náklady",$D$15:$D$181,"3")</f>
        <v>0</v>
      </c>
      <c r="J191" s="214"/>
      <c r="K191" s="214"/>
      <c r="L191" s="540"/>
    </row>
    <row r="192" spans="2:15" x14ac:dyDescent="0.3">
      <c r="B192" s="468" t="s">
        <v>434</v>
      </c>
      <c r="C192" s="224">
        <f>SUM(C188:C191)</f>
        <v>0</v>
      </c>
      <c r="D192" s="224">
        <f>SUM(D188:D191)</f>
        <v>0</v>
      </c>
      <c r="E192" s="225"/>
      <c r="F192" s="224">
        <f>SUM(F188:F191)</f>
        <v>0</v>
      </c>
      <c r="J192" s="217" t="s">
        <v>435</v>
      </c>
      <c r="K192" s="217"/>
      <c r="L192" s="217"/>
    </row>
    <row r="193" spans="2:15" x14ac:dyDescent="0.3">
      <c r="B193" s="472" t="s">
        <v>436</v>
      </c>
      <c r="C193" s="228">
        <f>C192/8</f>
        <v>0</v>
      </c>
      <c r="D193" s="228">
        <f t="shared" ref="D193:F193" si="62">D192/8</f>
        <v>0</v>
      </c>
      <c r="E193" s="228"/>
      <c r="F193" s="228">
        <f t="shared" si="62"/>
        <v>0</v>
      </c>
      <c r="J193" s="218" t="s">
        <v>3</v>
      </c>
      <c r="K193" s="219" t="s">
        <v>43</v>
      </c>
      <c r="L193" s="145" t="str">
        <f>'4. Kalkulace TCO a Porovnání'!$J$5</f>
        <v>v Kč včetně DPH</v>
      </c>
    </row>
    <row r="194" spans="2:15" x14ac:dyDescent="0.3">
      <c r="B194" s="472" t="s">
        <v>437</v>
      </c>
      <c r="C194" s="228">
        <f>C193*DelkaProjektu</f>
        <v>0</v>
      </c>
      <c r="D194" s="228">
        <f>D193*DelkaProjektu</f>
        <v>0</v>
      </c>
      <c r="E194" s="228"/>
      <c r="F194" s="228">
        <f>F193*DelkaProjektu</f>
        <v>0</v>
      </c>
      <c r="J194" s="146">
        <f>SUMIFS(J172:J181,$C172:$C181,"Kč/rok")</f>
        <v>0</v>
      </c>
      <c r="K194" s="147">
        <f>SUMIFS(K172:K181,$C172:$C181,"Kč/rok")</f>
        <v>0</v>
      </c>
      <c r="L194" s="148">
        <f>IF($L$159=$J$159,J194,K194)</f>
        <v>0</v>
      </c>
      <c r="O194" s="537">
        <f>L194*DelkaProjektu+L197</f>
        <v>0</v>
      </c>
    </row>
    <row r="195" spans="2:15" x14ac:dyDescent="0.3">
      <c r="B195" s="473"/>
      <c r="C195" s="229" t="s">
        <v>438</v>
      </c>
      <c r="D195" s="230"/>
      <c r="E195" s="230"/>
      <c r="F195" s="231"/>
      <c r="J195" s="217" t="s">
        <v>439</v>
      </c>
      <c r="K195" s="217"/>
      <c r="L195" s="217"/>
    </row>
    <row r="196" spans="2:15" x14ac:dyDescent="0.3">
      <c r="B196" s="474" t="s">
        <v>440</v>
      </c>
      <c r="C196" s="232" t="s">
        <v>428</v>
      </c>
      <c r="D196" s="233" t="s">
        <v>429</v>
      </c>
      <c r="E196" s="233"/>
      <c r="F196" s="232" t="s">
        <v>430</v>
      </c>
      <c r="J196" s="218" t="s">
        <v>3</v>
      </c>
      <c r="K196" s="219" t="s">
        <v>43</v>
      </c>
      <c r="L196" s="145" t="str">
        <f>'4. Kalkulace TCO a Porovnání'!$J$5</f>
        <v>v Kč včetně DPH</v>
      </c>
    </row>
    <row r="197" spans="2:15" ht="15" thickBot="1" x14ac:dyDescent="0.35">
      <c r="B197" s="471" t="s">
        <v>441</v>
      </c>
      <c r="C197" s="226">
        <f>SUMIFS($F$15:$F$181,$N$15:$N$181,"jednorázově",$D$15:$D$181,"1")</f>
        <v>0</v>
      </c>
      <c r="D197" s="226">
        <f>SUMIFS($F$15:$F$181,$N$15:$N$181,"jednorázově",$D$15:$D$181,"2")</f>
        <v>0</v>
      </c>
      <c r="E197" s="227"/>
      <c r="F197" s="226">
        <f>SUMIFS($F$15:$F$181,$N$15:$N$181,"jednorázově",$D$15:$D$181,"3")</f>
        <v>0</v>
      </c>
      <c r="J197" s="146">
        <f>SUMIFS(J172:J181,$C172:$C181,"Kč/jednorázově")</f>
        <v>0</v>
      </c>
      <c r="K197" s="147">
        <f>SUMIFS(K172:K181,$C172:$C181,"Kč/jednorázově")</f>
        <v>0</v>
      </c>
      <c r="L197" s="148">
        <f>IF($L$159=$J$159,J197,K197)</f>
        <v>0</v>
      </c>
    </row>
    <row r="198" spans="2:15" ht="15.6" thickTop="1" thickBot="1" x14ac:dyDescent="0.35">
      <c r="B198" s="471" t="s">
        <v>442</v>
      </c>
      <c r="C198" s="226">
        <f>SUMIFS($F$15:$F$181,$N$15:$N$181,"ukončení",$D$15:$D$181,"1")</f>
        <v>0</v>
      </c>
      <c r="D198" s="226">
        <f>SUMIFS($F$15:$F$181,$N$15:$N$181,"ukončení",$D$15:$D$181,"2")</f>
        <v>0</v>
      </c>
      <c r="E198" s="227"/>
      <c r="F198" s="226">
        <f>SUMIFS($F$15:$F$181,$N$15:$N$181,"ukončení",$D$15:$D$181,"3")</f>
        <v>0</v>
      </c>
      <c r="J198" s="538"/>
      <c r="K198" s="538"/>
      <c r="L198" s="539">
        <f>IF(D183="ANO",L194,L194+L197/DelkaProjektu)</f>
        <v>0</v>
      </c>
    </row>
    <row r="199" spans="2:15" ht="15" thickTop="1" x14ac:dyDescent="0.3">
      <c r="B199" s="474" t="s">
        <v>434</v>
      </c>
      <c r="C199" s="232">
        <f>SUM(C197:C198)</f>
        <v>0</v>
      </c>
      <c r="D199" s="232">
        <f>SUM(D197:D198)</f>
        <v>0</v>
      </c>
      <c r="E199" s="233"/>
      <c r="F199" s="232">
        <f>SUM(F197:F198)</f>
        <v>0</v>
      </c>
    </row>
    <row r="200" spans="2:15" x14ac:dyDescent="0.3">
      <c r="B200" s="475" t="s">
        <v>436</v>
      </c>
      <c r="C200" s="234">
        <f>C199/8</f>
        <v>0</v>
      </c>
      <c r="D200" s="234">
        <f t="shared" ref="D200" si="63">D199/8</f>
        <v>0</v>
      </c>
      <c r="E200" s="234"/>
      <c r="F200" s="234">
        <f t="shared" ref="F200" si="64">F199/8</f>
        <v>0</v>
      </c>
    </row>
    <row r="201" spans="2:15" x14ac:dyDescent="0.3">
      <c r="B201" s="463"/>
      <c r="C201" s="463"/>
      <c r="D201" s="463"/>
      <c r="E201" s="463"/>
    </row>
    <row r="202" spans="2:15" x14ac:dyDescent="0.3">
      <c r="B202" s="463"/>
      <c r="C202" s="463"/>
      <c r="D202" s="463"/>
      <c r="E202" s="463"/>
    </row>
    <row r="203" spans="2:15" x14ac:dyDescent="0.3">
      <c r="B203" s="463"/>
      <c r="C203" s="463"/>
      <c r="D203" s="463"/>
      <c r="E203" s="463"/>
    </row>
    <row r="204" spans="2:15" x14ac:dyDescent="0.3">
      <c r="B204" s="463"/>
      <c r="C204" s="463"/>
      <c r="D204" s="463"/>
      <c r="E204" s="463"/>
    </row>
    <row r="205" spans="2:15" x14ac:dyDescent="0.3">
      <c r="B205" s="463"/>
      <c r="C205" s="463"/>
      <c r="D205" s="463"/>
      <c r="E205" s="463"/>
    </row>
    <row r="206" spans="2:15" x14ac:dyDescent="0.3">
      <c r="B206" s="463"/>
      <c r="C206" s="463"/>
      <c r="D206" s="463"/>
      <c r="E206" s="463"/>
    </row>
    <row r="207" spans="2:15" x14ac:dyDescent="0.3">
      <c r="B207" s="463"/>
      <c r="C207" s="463"/>
      <c r="D207" s="463"/>
      <c r="E207" s="463"/>
    </row>
    <row r="208" spans="2:15" x14ac:dyDescent="0.3">
      <c r="B208" s="463"/>
      <c r="C208" s="463"/>
      <c r="D208" s="463"/>
      <c r="E208" s="463"/>
    </row>
    <row r="209" spans="2:5" x14ac:dyDescent="0.3">
      <c r="B209" s="463"/>
      <c r="C209" s="463"/>
      <c r="D209" s="463"/>
      <c r="E209" s="463"/>
    </row>
    <row r="210" spans="2:5" x14ac:dyDescent="0.3">
      <c r="B210" s="463"/>
      <c r="C210" s="463"/>
      <c r="D210" s="463"/>
      <c r="E210" s="463"/>
    </row>
    <row r="211" spans="2:5" x14ac:dyDescent="0.3">
      <c r="B211" s="463"/>
      <c r="C211" s="463"/>
      <c r="D211" s="463"/>
      <c r="E211" s="463"/>
    </row>
    <row r="212" spans="2:5" x14ac:dyDescent="0.3">
      <c r="B212" s="463"/>
      <c r="C212" s="463"/>
      <c r="D212" s="463"/>
      <c r="E212" s="463"/>
    </row>
    <row r="213" spans="2:5" x14ac:dyDescent="0.3">
      <c r="B213" s="463"/>
      <c r="C213" s="463"/>
      <c r="D213" s="463"/>
      <c r="E213" s="463"/>
    </row>
    <row r="214" spans="2:5" x14ac:dyDescent="0.3">
      <c r="B214" s="463"/>
      <c r="C214" s="463"/>
      <c r="D214" s="463"/>
      <c r="E214" s="463"/>
    </row>
    <row r="215" spans="2:5" x14ac:dyDescent="0.3">
      <c r="B215" s="463"/>
      <c r="C215" s="463"/>
      <c r="D215" s="463"/>
      <c r="E215" s="463"/>
    </row>
    <row r="216" spans="2:5" x14ac:dyDescent="0.3">
      <c r="B216" s="463"/>
      <c r="C216" s="463"/>
      <c r="D216" s="463"/>
      <c r="E216" s="463"/>
    </row>
    <row r="217" spans="2:5" x14ac:dyDescent="0.3">
      <c r="B217" s="463"/>
      <c r="C217" s="463"/>
      <c r="D217" s="463"/>
      <c r="E217" s="463"/>
    </row>
    <row r="218" spans="2:5" x14ac:dyDescent="0.3">
      <c r="B218" s="463"/>
      <c r="C218" s="463"/>
      <c r="D218" s="463"/>
      <c r="E218" s="463"/>
    </row>
    <row r="219" spans="2:5" x14ac:dyDescent="0.3">
      <c r="B219" s="463"/>
      <c r="C219" s="463"/>
      <c r="D219" s="463"/>
      <c r="E219" s="463"/>
    </row>
    <row r="220" spans="2:5" x14ac:dyDescent="0.3">
      <c r="B220" s="463"/>
      <c r="C220" s="463"/>
      <c r="D220" s="463"/>
      <c r="E220" s="463"/>
    </row>
    <row r="221" spans="2:5" x14ac:dyDescent="0.3">
      <c r="B221" s="463"/>
      <c r="C221" s="463"/>
      <c r="D221" s="463"/>
      <c r="E221" s="463"/>
    </row>
    <row r="222" spans="2:5" x14ac:dyDescent="0.3">
      <c r="B222" s="463"/>
      <c r="C222" s="463"/>
      <c r="D222" s="463"/>
      <c r="E222" s="463"/>
    </row>
    <row r="223" spans="2:5" x14ac:dyDescent="0.3">
      <c r="B223" s="463"/>
      <c r="C223" s="463"/>
      <c r="D223" s="463"/>
      <c r="E223" s="463"/>
    </row>
    <row r="224" spans="2:5" x14ac:dyDescent="0.3">
      <c r="B224" s="463"/>
      <c r="C224" s="463"/>
      <c r="D224" s="463"/>
      <c r="E224" s="463"/>
    </row>
    <row r="225" spans="2:5" x14ac:dyDescent="0.3">
      <c r="B225" s="463"/>
      <c r="C225" s="463"/>
      <c r="D225" s="463"/>
      <c r="E225" s="463"/>
    </row>
    <row r="226" spans="2:5" x14ac:dyDescent="0.3">
      <c r="B226" s="463"/>
      <c r="C226" s="463"/>
      <c r="D226" s="463"/>
      <c r="E226" s="463"/>
    </row>
    <row r="227" spans="2:5" x14ac:dyDescent="0.3">
      <c r="B227" s="463"/>
      <c r="C227" s="463"/>
      <c r="D227" s="463"/>
      <c r="E227" s="463"/>
    </row>
    <row r="228" spans="2:5" x14ac:dyDescent="0.3">
      <c r="B228" s="463"/>
      <c r="C228" s="463"/>
      <c r="D228" s="463"/>
      <c r="E228" s="463"/>
    </row>
    <row r="229" spans="2:5" x14ac:dyDescent="0.3">
      <c r="B229" s="463"/>
      <c r="C229" s="463"/>
      <c r="D229" s="463"/>
      <c r="E229" s="463"/>
    </row>
    <row r="230" spans="2:5" x14ac:dyDescent="0.3">
      <c r="B230" s="463"/>
      <c r="C230" s="463"/>
      <c r="D230" s="463"/>
      <c r="E230" s="463"/>
    </row>
    <row r="231" spans="2:5" x14ac:dyDescent="0.3">
      <c r="B231" s="463"/>
      <c r="C231" s="463"/>
      <c r="D231" s="463"/>
      <c r="E231" s="463"/>
    </row>
    <row r="232" spans="2:5" x14ac:dyDescent="0.3">
      <c r="B232" s="463"/>
      <c r="C232" s="463"/>
      <c r="D232" s="463"/>
      <c r="E232" s="463"/>
    </row>
    <row r="233" spans="2:5" x14ac:dyDescent="0.3">
      <c r="B233" s="463"/>
      <c r="C233" s="463"/>
      <c r="D233" s="463"/>
      <c r="E233" s="463"/>
    </row>
    <row r="234" spans="2:5" x14ac:dyDescent="0.3">
      <c r="B234" s="463"/>
      <c r="C234" s="463"/>
      <c r="D234" s="463"/>
      <c r="E234" s="463"/>
    </row>
    <row r="235" spans="2:5" x14ac:dyDescent="0.3">
      <c r="B235" s="463"/>
      <c r="C235" s="463"/>
      <c r="D235" s="463"/>
      <c r="E235" s="463"/>
    </row>
    <row r="236" spans="2:5" x14ac:dyDescent="0.3">
      <c r="B236" s="463"/>
      <c r="C236" s="463"/>
      <c r="D236" s="463"/>
      <c r="E236" s="463"/>
    </row>
    <row r="237" spans="2:5" x14ac:dyDescent="0.3">
      <c r="B237" s="463"/>
      <c r="C237" s="463"/>
      <c r="D237" s="463"/>
      <c r="E237" s="463"/>
    </row>
    <row r="238" spans="2:5" x14ac:dyDescent="0.3">
      <c r="B238" s="463"/>
      <c r="C238" s="463"/>
      <c r="D238" s="463"/>
      <c r="E238" s="463"/>
    </row>
    <row r="239" spans="2:5" x14ac:dyDescent="0.3">
      <c r="B239" s="463"/>
      <c r="C239" s="463"/>
      <c r="D239" s="463"/>
      <c r="E239" s="463"/>
    </row>
    <row r="240" spans="2:5" x14ac:dyDescent="0.3">
      <c r="B240" s="463"/>
      <c r="C240" s="463"/>
      <c r="D240" s="463"/>
      <c r="E240" s="463"/>
    </row>
    <row r="241" spans="2:5" x14ac:dyDescent="0.3">
      <c r="B241" s="463"/>
      <c r="C241" s="463"/>
      <c r="D241" s="463"/>
      <c r="E241" s="463"/>
    </row>
    <row r="242" spans="2:5" x14ac:dyDescent="0.3">
      <c r="B242" s="463"/>
      <c r="C242" s="463"/>
      <c r="D242" s="463"/>
      <c r="E242" s="463"/>
    </row>
    <row r="243" spans="2:5" x14ac:dyDescent="0.3">
      <c r="B243" s="463"/>
      <c r="C243" s="463"/>
      <c r="D243" s="463"/>
      <c r="E243" s="463"/>
    </row>
    <row r="244" spans="2:5" x14ac:dyDescent="0.3">
      <c r="B244" s="463"/>
      <c r="C244" s="463"/>
      <c r="D244" s="463"/>
      <c r="E244" s="463"/>
    </row>
    <row r="245" spans="2:5" x14ac:dyDescent="0.3">
      <c r="B245" s="463"/>
      <c r="C245" s="463"/>
      <c r="D245" s="463"/>
      <c r="E245" s="463"/>
    </row>
    <row r="246" spans="2:5" x14ac:dyDescent="0.3">
      <c r="B246" s="463"/>
      <c r="C246" s="463"/>
      <c r="D246" s="463"/>
      <c r="E246" s="463"/>
    </row>
    <row r="247" spans="2:5" x14ac:dyDescent="0.3">
      <c r="B247" s="463"/>
      <c r="C247" s="463"/>
      <c r="D247" s="463"/>
      <c r="E247" s="463"/>
    </row>
    <row r="248" spans="2:5" x14ac:dyDescent="0.3">
      <c r="B248" s="463"/>
      <c r="C248" s="463"/>
      <c r="D248" s="463"/>
      <c r="E248" s="463"/>
    </row>
    <row r="249" spans="2:5" x14ac:dyDescent="0.3">
      <c r="B249" s="463"/>
      <c r="C249" s="463"/>
      <c r="D249" s="463"/>
      <c r="E249" s="463"/>
    </row>
    <row r="250" spans="2:5" x14ac:dyDescent="0.3">
      <c r="B250" s="463"/>
      <c r="C250" s="463"/>
      <c r="D250" s="463"/>
      <c r="E250" s="463"/>
    </row>
    <row r="251" spans="2:5" x14ac:dyDescent="0.3">
      <c r="B251" s="463"/>
      <c r="C251" s="463"/>
      <c r="D251" s="463"/>
      <c r="E251" s="463"/>
    </row>
    <row r="252" spans="2:5" x14ac:dyDescent="0.3">
      <c r="B252" s="463"/>
      <c r="C252" s="463"/>
      <c r="D252" s="463"/>
      <c r="E252" s="463"/>
    </row>
    <row r="253" spans="2:5" x14ac:dyDescent="0.3">
      <c r="B253" s="463"/>
      <c r="C253" s="463"/>
      <c r="D253" s="463"/>
      <c r="E253" s="463"/>
    </row>
    <row r="254" spans="2:5" x14ac:dyDescent="0.3">
      <c r="B254" s="463"/>
      <c r="C254" s="463"/>
      <c r="D254" s="463"/>
      <c r="E254" s="463"/>
    </row>
    <row r="255" spans="2:5" x14ac:dyDescent="0.3">
      <c r="B255" s="463"/>
      <c r="C255" s="463"/>
      <c r="D255" s="463"/>
      <c r="E255" s="463"/>
    </row>
    <row r="256" spans="2:5" x14ac:dyDescent="0.3">
      <c r="B256" s="463"/>
      <c r="C256" s="463"/>
      <c r="D256" s="463"/>
      <c r="E256" s="463"/>
    </row>
    <row r="257" spans="2:5" x14ac:dyDescent="0.3">
      <c r="B257" s="463"/>
      <c r="C257" s="463"/>
      <c r="D257" s="463"/>
      <c r="E257" s="463"/>
    </row>
    <row r="258" spans="2:5" x14ac:dyDescent="0.3">
      <c r="B258" s="463"/>
      <c r="C258" s="463"/>
      <c r="D258" s="463"/>
      <c r="E258" s="463"/>
    </row>
    <row r="259" spans="2:5" x14ac:dyDescent="0.3">
      <c r="B259" s="463"/>
      <c r="C259" s="463"/>
      <c r="D259" s="463"/>
      <c r="E259" s="463"/>
    </row>
    <row r="260" spans="2:5" x14ac:dyDescent="0.3">
      <c r="B260" s="463"/>
      <c r="C260" s="463"/>
      <c r="D260" s="463"/>
      <c r="E260" s="463"/>
    </row>
    <row r="261" spans="2:5" x14ac:dyDescent="0.3">
      <c r="B261" s="463"/>
      <c r="C261" s="463"/>
      <c r="D261" s="463"/>
      <c r="E261" s="463"/>
    </row>
    <row r="262" spans="2:5" x14ac:dyDescent="0.3">
      <c r="B262" s="463"/>
      <c r="C262" s="463"/>
      <c r="D262" s="463"/>
      <c r="E262" s="463"/>
    </row>
    <row r="263" spans="2:5" x14ac:dyDescent="0.3">
      <c r="B263" s="463"/>
      <c r="C263" s="463"/>
      <c r="D263" s="463"/>
      <c r="E263" s="463"/>
    </row>
    <row r="264" spans="2:5" x14ac:dyDescent="0.3">
      <c r="B264" s="463"/>
      <c r="C264" s="463"/>
      <c r="D264" s="463"/>
      <c r="E264" s="463"/>
    </row>
    <row r="265" spans="2:5" x14ac:dyDescent="0.3">
      <c r="B265" s="463"/>
      <c r="C265" s="463"/>
      <c r="D265" s="463"/>
      <c r="E265" s="463"/>
    </row>
    <row r="266" spans="2:5" x14ac:dyDescent="0.3">
      <c r="B266" s="463"/>
      <c r="C266" s="463"/>
      <c r="D266" s="463"/>
      <c r="E266" s="463"/>
    </row>
    <row r="267" spans="2:5" x14ac:dyDescent="0.3">
      <c r="B267" s="463"/>
      <c r="C267" s="463"/>
      <c r="D267" s="463"/>
      <c r="E267" s="463"/>
    </row>
    <row r="268" spans="2:5" x14ac:dyDescent="0.3">
      <c r="B268" s="463"/>
      <c r="C268" s="463"/>
      <c r="D268" s="463"/>
      <c r="E268" s="463"/>
    </row>
    <row r="269" spans="2:5" x14ac:dyDescent="0.3">
      <c r="B269" s="463"/>
      <c r="C269" s="463"/>
      <c r="D269" s="463"/>
      <c r="E269" s="463"/>
    </row>
    <row r="270" spans="2:5" x14ac:dyDescent="0.3">
      <c r="B270" s="463"/>
      <c r="C270" s="463"/>
      <c r="D270" s="463"/>
      <c r="E270" s="463"/>
    </row>
    <row r="271" spans="2:5" x14ac:dyDescent="0.3">
      <c r="B271" s="463"/>
      <c r="C271" s="463"/>
      <c r="D271" s="463"/>
      <c r="E271" s="463"/>
    </row>
    <row r="272" spans="2:5" x14ac:dyDescent="0.3">
      <c r="B272" s="463"/>
      <c r="C272" s="463"/>
      <c r="D272" s="463"/>
      <c r="E272" s="463"/>
    </row>
    <row r="273" spans="2:5" x14ac:dyDescent="0.3">
      <c r="B273" s="463"/>
      <c r="C273" s="463"/>
      <c r="D273" s="463"/>
      <c r="E273" s="463"/>
    </row>
    <row r="274" spans="2:5" x14ac:dyDescent="0.3">
      <c r="B274" s="463"/>
      <c r="C274" s="463"/>
      <c r="D274" s="463"/>
      <c r="E274" s="463"/>
    </row>
    <row r="275" spans="2:5" x14ac:dyDescent="0.3">
      <c r="B275" s="463"/>
      <c r="C275" s="463"/>
      <c r="D275" s="463"/>
      <c r="E275" s="463"/>
    </row>
    <row r="276" spans="2:5" x14ac:dyDescent="0.3">
      <c r="B276" s="463"/>
      <c r="C276" s="463"/>
      <c r="D276" s="463"/>
      <c r="E276" s="463"/>
    </row>
    <row r="277" spans="2:5" x14ac:dyDescent="0.3">
      <c r="B277" s="463"/>
      <c r="C277" s="463"/>
      <c r="D277" s="463"/>
      <c r="E277" s="463"/>
    </row>
    <row r="278" spans="2:5" x14ac:dyDescent="0.3">
      <c r="B278" s="463"/>
      <c r="C278" s="463"/>
      <c r="D278" s="463"/>
      <c r="E278" s="463"/>
    </row>
    <row r="279" spans="2:5" x14ac:dyDescent="0.3">
      <c r="B279" s="463"/>
      <c r="C279" s="463"/>
      <c r="D279" s="463"/>
      <c r="E279" s="463"/>
    </row>
    <row r="280" spans="2:5" x14ac:dyDescent="0.3">
      <c r="B280" s="463"/>
      <c r="C280" s="463"/>
      <c r="D280" s="463"/>
      <c r="E280" s="463"/>
    </row>
    <row r="281" spans="2:5" x14ac:dyDescent="0.3">
      <c r="B281" s="463"/>
      <c r="C281" s="463"/>
      <c r="D281" s="463"/>
      <c r="E281" s="463"/>
    </row>
  </sheetData>
  <sheetProtection algorithmName="SHA-512" hashValue="sBleyD3FIx6sBbRaLAIzo7OywvIXQt1qs7z6pnQtoKNpS0IEHnEgyNd78x8EXSf2pMc3k11r547ofOWzvV6wTQ==" saltValue="q1MspY4PiAB3FPp5fykUuA==" spinCount="100000" sheet="1" objects="1" scenarios="1"/>
  <mergeCells count="6">
    <mergeCell ref="C186:F186"/>
    <mergeCell ref="J184:L184"/>
    <mergeCell ref="J187:L187"/>
    <mergeCell ref="J192:L192"/>
    <mergeCell ref="J195:L195"/>
    <mergeCell ref="C195:F195"/>
  </mergeCells>
  <dataValidations count="1">
    <dataValidation type="list" allowBlank="1" showInputMessage="1" showErrorMessage="1" sqref="D15:D17 D80 D82 D64 D23:D36 D43:D45 D124 D126 D128 D130 D136 D144 D142 D146 D154 D150 D152 D95 D89 D117 D91 D93 D97 D99 D101 D103 D105 D107 D109 D111 D113 D115" xr:uid="{00000000-0002-0000-0300-000002000000}">
      <formula1>Typrole</formula1>
    </dataValidation>
  </dataValidations>
  <printOptions horizontalCentered="1"/>
  <pageMargins left="0" right="0" top="0.35433070866141736" bottom="0.35433070866141736" header="0" footer="0.15748031496062992"/>
  <pageSetup paperSize="9" scale="50" orientation="portrait" r:id="rId1"/>
  <headerFooter>
    <oddFooter>&amp;L&amp;"Calibri,Obyčejné"&amp;9Cloudové řešení - vstupy&amp;C&amp;"Calibri,Obyčejné"&amp;9&amp;P/&amp;N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F04FD3D-D504-409E-A180-CC29A1F845EF}">
          <x14:formula1>
            <xm:f>'tabulky-schovat'!$A$18:$A$19</xm:f>
          </x14:formula1>
          <xm:sqref>C161:C170 C172:C182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published="0" codeName="Sheet3">
    <tabColor rgb="FF0070C0"/>
  </sheetPr>
  <dimension ref="A1:AF239"/>
  <sheetViews>
    <sheetView zoomScaleNormal="100" zoomScaleSheetLayoutView="100" workbookViewId="0">
      <selection activeCell="T15" sqref="T15"/>
    </sheetView>
  </sheetViews>
  <sheetFormatPr defaultColWidth="7.59765625" defaultRowHeight="14.4" outlineLevelRow="1" outlineLevelCol="1" x14ac:dyDescent="0.3"/>
  <cols>
    <col min="1" max="1" width="3.09765625" style="465" customWidth="1"/>
    <col min="2" max="2" width="4.09765625" style="544" customWidth="1"/>
    <col min="3" max="3" width="52.09765625" style="545" customWidth="1"/>
    <col min="4" max="4" width="7.59765625" style="463"/>
    <col min="5" max="10" width="12.59765625" style="545" customWidth="1"/>
    <col min="11" max="11" width="2.5" style="595" customWidth="1"/>
    <col min="12" max="12" width="9.8984375" style="596" hidden="1" customWidth="1" outlineLevel="1"/>
    <col min="13" max="13" width="1.3984375" style="596" hidden="1" customWidth="1" outlineLevel="1"/>
    <col min="14" max="14" width="18.8984375" style="596" hidden="1" customWidth="1" outlineLevel="1"/>
    <col min="15" max="15" width="7.59765625" style="596" hidden="1" customWidth="1" outlineLevel="1"/>
    <col min="16" max="18" width="7.59765625" style="134" hidden="1" customWidth="1" outlineLevel="1"/>
    <col min="19" max="19" width="7.59765625" style="134" collapsed="1"/>
    <col min="20" max="32" width="7.59765625" style="258"/>
    <col min="33" max="250" width="7.59765625" style="487"/>
    <col min="251" max="251" width="40.5" style="487" customWidth="1"/>
    <col min="252" max="252" width="7.59765625" style="487"/>
    <col min="253" max="253" width="10.59765625" style="487" bestFit="1" customWidth="1"/>
    <col min="254" max="254" width="8.8984375" style="487" customWidth="1"/>
    <col min="255" max="257" width="8.09765625" style="487" bestFit="1" customWidth="1"/>
    <col min="258" max="258" width="9.09765625" style="487" bestFit="1" customWidth="1"/>
    <col min="259" max="506" width="7.59765625" style="487"/>
    <col min="507" max="507" width="40.5" style="487" customWidth="1"/>
    <col min="508" max="508" width="7.59765625" style="487"/>
    <col min="509" max="509" width="10.59765625" style="487" bestFit="1" customWidth="1"/>
    <col min="510" max="510" width="8.8984375" style="487" customWidth="1"/>
    <col min="511" max="513" width="8.09765625" style="487" bestFit="1" customWidth="1"/>
    <col min="514" max="514" width="9.09765625" style="487" bestFit="1" customWidth="1"/>
    <col min="515" max="762" width="7.59765625" style="487"/>
    <col min="763" max="763" width="40.5" style="487" customWidth="1"/>
    <col min="764" max="764" width="7.59765625" style="487"/>
    <col min="765" max="765" width="10.59765625" style="487" bestFit="1" customWidth="1"/>
    <col min="766" max="766" width="8.8984375" style="487" customWidth="1"/>
    <col min="767" max="769" width="8.09765625" style="487" bestFit="1" customWidth="1"/>
    <col min="770" max="770" width="9.09765625" style="487" bestFit="1" customWidth="1"/>
    <col min="771" max="1018" width="7.59765625" style="487"/>
    <col min="1019" max="1019" width="40.5" style="487" customWidth="1"/>
    <col min="1020" max="1020" width="7.59765625" style="487"/>
    <col min="1021" max="1021" width="10.59765625" style="487" bestFit="1" customWidth="1"/>
    <col min="1022" max="1022" width="8.8984375" style="487" customWidth="1"/>
    <col min="1023" max="1025" width="8.09765625" style="487" bestFit="1" customWidth="1"/>
    <col min="1026" max="1026" width="9.09765625" style="487" bestFit="1" customWidth="1"/>
    <col min="1027" max="1274" width="7.59765625" style="487"/>
    <col min="1275" max="1275" width="40.5" style="487" customWidth="1"/>
    <col min="1276" max="1276" width="7.59765625" style="487"/>
    <col min="1277" max="1277" width="10.59765625" style="487" bestFit="1" customWidth="1"/>
    <col min="1278" max="1278" width="8.8984375" style="487" customWidth="1"/>
    <col min="1279" max="1281" width="8.09765625" style="487" bestFit="1" customWidth="1"/>
    <col min="1282" max="1282" width="9.09765625" style="487" bestFit="1" customWidth="1"/>
    <col min="1283" max="1530" width="7.59765625" style="487"/>
    <col min="1531" max="1531" width="40.5" style="487" customWidth="1"/>
    <col min="1532" max="1532" width="7.59765625" style="487"/>
    <col min="1533" max="1533" width="10.59765625" style="487" bestFit="1" customWidth="1"/>
    <col min="1534" max="1534" width="8.8984375" style="487" customWidth="1"/>
    <col min="1535" max="1537" width="8.09765625" style="487" bestFit="1" customWidth="1"/>
    <col min="1538" max="1538" width="9.09765625" style="487" bestFit="1" customWidth="1"/>
    <col min="1539" max="1786" width="7.59765625" style="487"/>
    <col min="1787" max="1787" width="40.5" style="487" customWidth="1"/>
    <col min="1788" max="1788" width="7.59765625" style="487"/>
    <col min="1789" max="1789" width="10.59765625" style="487" bestFit="1" customWidth="1"/>
    <col min="1790" max="1790" width="8.8984375" style="487" customWidth="1"/>
    <col min="1791" max="1793" width="8.09765625" style="487" bestFit="1" customWidth="1"/>
    <col min="1794" max="1794" width="9.09765625" style="487" bestFit="1" customWidth="1"/>
    <col min="1795" max="2042" width="7.59765625" style="487"/>
    <col min="2043" max="2043" width="40.5" style="487" customWidth="1"/>
    <col min="2044" max="2044" width="7.59765625" style="487"/>
    <col min="2045" max="2045" width="10.59765625" style="487" bestFit="1" customWidth="1"/>
    <col min="2046" max="2046" width="8.8984375" style="487" customWidth="1"/>
    <col min="2047" max="2049" width="8.09765625" style="487" bestFit="1" customWidth="1"/>
    <col min="2050" max="2050" width="9.09765625" style="487" bestFit="1" customWidth="1"/>
    <col min="2051" max="2298" width="7.59765625" style="487"/>
    <col min="2299" max="2299" width="40.5" style="487" customWidth="1"/>
    <col min="2300" max="2300" width="7.59765625" style="487"/>
    <col min="2301" max="2301" width="10.59765625" style="487" bestFit="1" customWidth="1"/>
    <col min="2302" max="2302" width="8.8984375" style="487" customWidth="1"/>
    <col min="2303" max="2305" width="8.09765625" style="487" bestFit="1" customWidth="1"/>
    <col min="2306" max="2306" width="9.09765625" style="487" bestFit="1" customWidth="1"/>
    <col min="2307" max="2554" width="7.59765625" style="487"/>
    <col min="2555" max="2555" width="40.5" style="487" customWidth="1"/>
    <col min="2556" max="2556" width="7.59765625" style="487"/>
    <col min="2557" max="2557" width="10.59765625" style="487" bestFit="1" customWidth="1"/>
    <col min="2558" max="2558" width="8.8984375" style="487" customWidth="1"/>
    <col min="2559" max="2561" width="8.09765625" style="487" bestFit="1" customWidth="1"/>
    <col min="2562" max="2562" width="9.09765625" style="487" bestFit="1" customWidth="1"/>
    <col min="2563" max="2810" width="7.59765625" style="487"/>
    <col min="2811" max="2811" width="40.5" style="487" customWidth="1"/>
    <col min="2812" max="2812" width="7.59765625" style="487"/>
    <col min="2813" max="2813" width="10.59765625" style="487" bestFit="1" customWidth="1"/>
    <col min="2814" max="2814" width="8.8984375" style="487" customWidth="1"/>
    <col min="2815" max="2817" width="8.09765625" style="487" bestFit="1" customWidth="1"/>
    <col min="2818" max="2818" width="9.09765625" style="487" bestFit="1" customWidth="1"/>
    <col min="2819" max="3066" width="7.59765625" style="487"/>
    <col min="3067" max="3067" width="40.5" style="487" customWidth="1"/>
    <col min="3068" max="3068" width="7.59765625" style="487"/>
    <col min="3069" max="3069" width="10.59765625" style="487" bestFit="1" customWidth="1"/>
    <col min="3070" max="3070" width="8.8984375" style="487" customWidth="1"/>
    <col min="3071" max="3073" width="8.09765625" style="487" bestFit="1" customWidth="1"/>
    <col min="3074" max="3074" width="9.09765625" style="487" bestFit="1" customWidth="1"/>
    <col min="3075" max="3322" width="7.59765625" style="487"/>
    <col min="3323" max="3323" width="40.5" style="487" customWidth="1"/>
    <col min="3324" max="3324" width="7.59765625" style="487"/>
    <col min="3325" max="3325" width="10.59765625" style="487" bestFit="1" customWidth="1"/>
    <col min="3326" max="3326" width="8.8984375" style="487" customWidth="1"/>
    <col min="3327" max="3329" width="8.09765625" style="487" bestFit="1" customWidth="1"/>
    <col min="3330" max="3330" width="9.09765625" style="487" bestFit="1" customWidth="1"/>
    <col min="3331" max="3578" width="7.59765625" style="487"/>
    <col min="3579" max="3579" width="40.5" style="487" customWidth="1"/>
    <col min="3580" max="3580" width="7.59765625" style="487"/>
    <col min="3581" max="3581" width="10.59765625" style="487" bestFit="1" customWidth="1"/>
    <col min="3582" max="3582" width="8.8984375" style="487" customWidth="1"/>
    <col min="3583" max="3585" width="8.09765625" style="487" bestFit="1" customWidth="1"/>
    <col min="3586" max="3586" width="9.09765625" style="487" bestFit="1" customWidth="1"/>
    <col min="3587" max="3834" width="7.59765625" style="487"/>
    <col min="3835" max="3835" width="40.5" style="487" customWidth="1"/>
    <col min="3836" max="3836" width="7.59765625" style="487"/>
    <col min="3837" max="3837" width="10.59765625" style="487" bestFit="1" customWidth="1"/>
    <col min="3838" max="3838" width="8.8984375" style="487" customWidth="1"/>
    <col min="3839" max="3841" width="8.09765625" style="487" bestFit="1" customWidth="1"/>
    <col min="3842" max="3842" width="9.09765625" style="487" bestFit="1" customWidth="1"/>
    <col min="3843" max="4090" width="7.59765625" style="487"/>
    <col min="4091" max="4091" width="40.5" style="487" customWidth="1"/>
    <col min="4092" max="4092" width="7.59765625" style="487"/>
    <col min="4093" max="4093" width="10.59765625" style="487" bestFit="1" customWidth="1"/>
    <col min="4094" max="4094" width="8.8984375" style="487" customWidth="1"/>
    <col min="4095" max="4097" width="8.09765625" style="487" bestFit="1" customWidth="1"/>
    <col min="4098" max="4098" width="9.09765625" style="487" bestFit="1" customWidth="1"/>
    <col min="4099" max="4346" width="7.59765625" style="487"/>
    <col min="4347" max="4347" width="40.5" style="487" customWidth="1"/>
    <col min="4348" max="4348" width="7.59765625" style="487"/>
    <col min="4349" max="4349" width="10.59765625" style="487" bestFit="1" customWidth="1"/>
    <col min="4350" max="4350" width="8.8984375" style="487" customWidth="1"/>
    <col min="4351" max="4353" width="8.09765625" style="487" bestFit="1" customWidth="1"/>
    <col min="4354" max="4354" width="9.09765625" style="487" bestFit="1" customWidth="1"/>
    <col min="4355" max="4602" width="7.59765625" style="487"/>
    <col min="4603" max="4603" width="40.5" style="487" customWidth="1"/>
    <col min="4604" max="4604" width="7.59765625" style="487"/>
    <col min="4605" max="4605" width="10.59765625" style="487" bestFit="1" customWidth="1"/>
    <col min="4606" max="4606" width="8.8984375" style="487" customWidth="1"/>
    <col min="4607" max="4609" width="8.09765625" style="487" bestFit="1" customWidth="1"/>
    <col min="4610" max="4610" width="9.09765625" style="487" bestFit="1" customWidth="1"/>
    <col min="4611" max="4858" width="7.59765625" style="487"/>
    <col min="4859" max="4859" width="40.5" style="487" customWidth="1"/>
    <col min="4860" max="4860" width="7.59765625" style="487"/>
    <col min="4861" max="4861" width="10.59765625" style="487" bestFit="1" customWidth="1"/>
    <col min="4862" max="4862" width="8.8984375" style="487" customWidth="1"/>
    <col min="4863" max="4865" width="8.09765625" style="487" bestFit="1" customWidth="1"/>
    <col min="4866" max="4866" width="9.09765625" style="487" bestFit="1" customWidth="1"/>
    <col min="4867" max="5114" width="7.59765625" style="487"/>
    <col min="5115" max="5115" width="40.5" style="487" customWidth="1"/>
    <col min="5116" max="5116" width="7.59765625" style="487"/>
    <col min="5117" max="5117" width="10.59765625" style="487" bestFit="1" customWidth="1"/>
    <col min="5118" max="5118" width="8.8984375" style="487" customWidth="1"/>
    <col min="5119" max="5121" width="8.09765625" style="487" bestFit="1" customWidth="1"/>
    <col min="5122" max="5122" width="9.09765625" style="487" bestFit="1" customWidth="1"/>
    <col min="5123" max="5370" width="7.59765625" style="487"/>
    <col min="5371" max="5371" width="40.5" style="487" customWidth="1"/>
    <col min="5372" max="5372" width="7.59765625" style="487"/>
    <col min="5373" max="5373" width="10.59765625" style="487" bestFit="1" customWidth="1"/>
    <col min="5374" max="5374" width="8.8984375" style="487" customWidth="1"/>
    <col min="5375" max="5377" width="8.09765625" style="487" bestFit="1" customWidth="1"/>
    <col min="5378" max="5378" width="9.09765625" style="487" bestFit="1" customWidth="1"/>
    <col min="5379" max="5626" width="7.59765625" style="487"/>
    <col min="5627" max="5627" width="40.5" style="487" customWidth="1"/>
    <col min="5628" max="5628" width="7.59765625" style="487"/>
    <col min="5629" max="5629" width="10.59765625" style="487" bestFit="1" customWidth="1"/>
    <col min="5630" max="5630" width="8.8984375" style="487" customWidth="1"/>
    <col min="5631" max="5633" width="8.09765625" style="487" bestFit="1" customWidth="1"/>
    <col min="5634" max="5634" width="9.09765625" style="487" bestFit="1" customWidth="1"/>
    <col min="5635" max="5882" width="7.59765625" style="487"/>
    <col min="5883" max="5883" width="40.5" style="487" customWidth="1"/>
    <col min="5884" max="5884" width="7.59765625" style="487"/>
    <col min="5885" max="5885" width="10.59765625" style="487" bestFit="1" customWidth="1"/>
    <col min="5886" max="5886" width="8.8984375" style="487" customWidth="1"/>
    <col min="5887" max="5889" width="8.09765625" style="487" bestFit="1" customWidth="1"/>
    <col min="5890" max="5890" width="9.09765625" style="487" bestFit="1" customWidth="1"/>
    <col min="5891" max="6138" width="7.59765625" style="487"/>
    <col min="6139" max="6139" width="40.5" style="487" customWidth="1"/>
    <col min="6140" max="6140" width="7.59765625" style="487"/>
    <col min="6141" max="6141" width="10.59765625" style="487" bestFit="1" customWidth="1"/>
    <col min="6142" max="6142" width="8.8984375" style="487" customWidth="1"/>
    <col min="6143" max="6145" width="8.09765625" style="487" bestFit="1" customWidth="1"/>
    <col min="6146" max="6146" width="9.09765625" style="487" bestFit="1" customWidth="1"/>
    <col min="6147" max="6394" width="7.59765625" style="487"/>
    <col min="6395" max="6395" width="40.5" style="487" customWidth="1"/>
    <col min="6396" max="6396" width="7.59765625" style="487"/>
    <col min="6397" max="6397" width="10.59765625" style="487" bestFit="1" customWidth="1"/>
    <col min="6398" max="6398" width="8.8984375" style="487" customWidth="1"/>
    <col min="6399" max="6401" width="8.09765625" style="487" bestFit="1" customWidth="1"/>
    <col min="6402" max="6402" width="9.09765625" style="487" bestFit="1" customWidth="1"/>
    <col min="6403" max="6650" width="7.59765625" style="487"/>
    <col min="6651" max="6651" width="40.5" style="487" customWidth="1"/>
    <col min="6652" max="6652" width="7.59765625" style="487"/>
    <col min="6653" max="6653" width="10.59765625" style="487" bestFit="1" customWidth="1"/>
    <col min="6654" max="6654" width="8.8984375" style="487" customWidth="1"/>
    <col min="6655" max="6657" width="8.09765625" style="487" bestFit="1" customWidth="1"/>
    <col min="6658" max="6658" width="9.09765625" style="487" bestFit="1" customWidth="1"/>
    <col min="6659" max="6906" width="7.59765625" style="487"/>
    <col min="6907" max="6907" width="40.5" style="487" customWidth="1"/>
    <col min="6908" max="6908" width="7.59765625" style="487"/>
    <col min="6909" max="6909" width="10.59765625" style="487" bestFit="1" customWidth="1"/>
    <col min="6910" max="6910" width="8.8984375" style="487" customWidth="1"/>
    <col min="6911" max="6913" width="8.09765625" style="487" bestFit="1" customWidth="1"/>
    <col min="6914" max="6914" width="9.09765625" style="487" bestFit="1" customWidth="1"/>
    <col min="6915" max="7162" width="7.59765625" style="487"/>
    <col min="7163" max="7163" width="40.5" style="487" customWidth="1"/>
    <col min="7164" max="7164" width="7.59765625" style="487"/>
    <col min="7165" max="7165" width="10.59765625" style="487" bestFit="1" customWidth="1"/>
    <col min="7166" max="7166" width="8.8984375" style="487" customWidth="1"/>
    <col min="7167" max="7169" width="8.09765625" style="487" bestFit="1" customWidth="1"/>
    <col min="7170" max="7170" width="9.09765625" style="487" bestFit="1" customWidth="1"/>
    <col min="7171" max="7418" width="7.59765625" style="487"/>
    <col min="7419" max="7419" width="40.5" style="487" customWidth="1"/>
    <col min="7420" max="7420" width="7.59765625" style="487"/>
    <col min="7421" max="7421" width="10.59765625" style="487" bestFit="1" customWidth="1"/>
    <col min="7422" max="7422" width="8.8984375" style="487" customWidth="1"/>
    <col min="7423" max="7425" width="8.09765625" style="487" bestFit="1" customWidth="1"/>
    <col min="7426" max="7426" width="9.09765625" style="487" bestFit="1" customWidth="1"/>
    <col min="7427" max="7674" width="7.59765625" style="487"/>
    <col min="7675" max="7675" width="40.5" style="487" customWidth="1"/>
    <col min="7676" max="7676" width="7.59765625" style="487"/>
    <col min="7677" max="7677" width="10.59765625" style="487" bestFit="1" customWidth="1"/>
    <col min="7678" max="7678" width="8.8984375" style="487" customWidth="1"/>
    <col min="7679" max="7681" width="8.09765625" style="487" bestFit="1" customWidth="1"/>
    <col min="7682" max="7682" width="9.09765625" style="487" bestFit="1" customWidth="1"/>
    <col min="7683" max="7930" width="7.59765625" style="487"/>
    <col min="7931" max="7931" width="40.5" style="487" customWidth="1"/>
    <col min="7932" max="7932" width="7.59765625" style="487"/>
    <col min="7933" max="7933" width="10.59765625" style="487" bestFit="1" customWidth="1"/>
    <col min="7934" max="7934" width="8.8984375" style="487" customWidth="1"/>
    <col min="7935" max="7937" width="8.09765625" style="487" bestFit="1" customWidth="1"/>
    <col min="7938" max="7938" width="9.09765625" style="487" bestFit="1" customWidth="1"/>
    <col min="7939" max="8186" width="7.59765625" style="487"/>
    <col min="8187" max="8187" width="40.5" style="487" customWidth="1"/>
    <col min="8188" max="8188" width="7.59765625" style="487"/>
    <col min="8189" max="8189" width="10.59765625" style="487" bestFit="1" customWidth="1"/>
    <col min="8190" max="8190" width="8.8984375" style="487" customWidth="1"/>
    <col min="8191" max="8193" width="8.09765625" style="487" bestFit="1" customWidth="1"/>
    <col min="8194" max="8194" width="9.09765625" style="487" bestFit="1" customWidth="1"/>
    <col min="8195" max="8442" width="7.59765625" style="487"/>
    <col min="8443" max="8443" width="40.5" style="487" customWidth="1"/>
    <col min="8444" max="8444" width="7.59765625" style="487"/>
    <col min="8445" max="8445" width="10.59765625" style="487" bestFit="1" customWidth="1"/>
    <col min="8446" max="8446" width="8.8984375" style="487" customWidth="1"/>
    <col min="8447" max="8449" width="8.09765625" style="487" bestFit="1" customWidth="1"/>
    <col min="8450" max="8450" width="9.09765625" style="487" bestFit="1" customWidth="1"/>
    <col min="8451" max="8698" width="7.59765625" style="487"/>
    <col min="8699" max="8699" width="40.5" style="487" customWidth="1"/>
    <col min="8700" max="8700" width="7.59765625" style="487"/>
    <col min="8701" max="8701" width="10.59765625" style="487" bestFit="1" customWidth="1"/>
    <col min="8702" max="8702" width="8.8984375" style="487" customWidth="1"/>
    <col min="8703" max="8705" width="8.09765625" style="487" bestFit="1" customWidth="1"/>
    <col min="8706" max="8706" width="9.09765625" style="487" bestFit="1" customWidth="1"/>
    <col min="8707" max="8954" width="7.59765625" style="487"/>
    <col min="8955" max="8955" width="40.5" style="487" customWidth="1"/>
    <col min="8956" max="8956" width="7.59765625" style="487"/>
    <col min="8957" max="8957" width="10.59765625" style="487" bestFit="1" customWidth="1"/>
    <col min="8958" max="8958" width="8.8984375" style="487" customWidth="1"/>
    <col min="8959" max="8961" width="8.09765625" style="487" bestFit="1" customWidth="1"/>
    <col min="8962" max="8962" width="9.09765625" style="487" bestFit="1" customWidth="1"/>
    <col min="8963" max="9210" width="7.59765625" style="487"/>
    <col min="9211" max="9211" width="40.5" style="487" customWidth="1"/>
    <col min="9212" max="9212" width="7.59765625" style="487"/>
    <col min="9213" max="9213" width="10.59765625" style="487" bestFit="1" customWidth="1"/>
    <col min="9214" max="9214" width="8.8984375" style="487" customWidth="1"/>
    <col min="9215" max="9217" width="8.09765625" style="487" bestFit="1" customWidth="1"/>
    <col min="9218" max="9218" width="9.09765625" style="487" bestFit="1" customWidth="1"/>
    <col min="9219" max="9466" width="7.59765625" style="487"/>
    <col min="9467" max="9467" width="40.5" style="487" customWidth="1"/>
    <col min="9468" max="9468" width="7.59765625" style="487"/>
    <col min="9469" max="9469" width="10.59765625" style="487" bestFit="1" customWidth="1"/>
    <col min="9470" max="9470" width="8.8984375" style="487" customWidth="1"/>
    <col min="9471" max="9473" width="8.09765625" style="487" bestFit="1" customWidth="1"/>
    <col min="9474" max="9474" width="9.09765625" style="487" bestFit="1" customWidth="1"/>
    <col min="9475" max="9722" width="7.59765625" style="487"/>
    <col min="9723" max="9723" width="40.5" style="487" customWidth="1"/>
    <col min="9724" max="9724" width="7.59765625" style="487"/>
    <col min="9725" max="9725" width="10.59765625" style="487" bestFit="1" customWidth="1"/>
    <col min="9726" max="9726" width="8.8984375" style="487" customWidth="1"/>
    <col min="9727" max="9729" width="8.09765625" style="487" bestFit="1" customWidth="1"/>
    <col min="9730" max="9730" width="9.09765625" style="487" bestFit="1" customWidth="1"/>
    <col min="9731" max="9978" width="7.59765625" style="487"/>
    <col min="9979" max="9979" width="40.5" style="487" customWidth="1"/>
    <col min="9980" max="9980" width="7.59765625" style="487"/>
    <col min="9981" max="9981" width="10.59765625" style="487" bestFit="1" customWidth="1"/>
    <col min="9982" max="9982" width="8.8984375" style="487" customWidth="1"/>
    <col min="9983" max="9985" width="8.09765625" style="487" bestFit="1" customWidth="1"/>
    <col min="9986" max="9986" width="9.09765625" style="487" bestFit="1" customWidth="1"/>
    <col min="9987" max="10234" width="7.59765625" style="487"/>
    <col min="10235" max="10235" width="40.5" style="487" customWidth="1"/>
    <col min="10236" max="10236" width="7.59765625" style="487"/>
    <col min="10237" max="10237" width="10.59765625" style="487" bestFit="1" customWidth="1"/>
    <col min="10238" max="10238" width="8.8984375" style="487" customWidth="1"/>
    <col min="10239" max="10241" width="8.09765625" style="487" bestFit="1" customWidth="1"/>
    <col min="10242" max="10242" width="9.09765625" style="487" bestFit="1" customWidth="1"/>
    <col min="10243" max="10490" width="7.59765625" style="487"/>
    <col min="10491" max="10491" width="40.5" style="487" customWidth="1"/>
    <col min="10492" max="10492" width="7.59765625" style="487"/>
    <col min="10493" max="10493" width="10.59765625" style="487" bestFit="1" customWidth="1"/>
    <col min="10494" max="10494" width="8.8984375" style="487" customWidth="1"/>
    <col min="10495" max="10497" width="8.09765625" style="487" bestFit="1" customWidth="1"/>
    <col min="10498" max="10498" width="9.09765625" style="487" bestFit="1" customWidth="1"/>
    <col min="10499" max="10746" width="7.59765625" style="487"/>
    <col min="10747" max="10747" width="40.5" style="487" customWidth="1"/>
    <col min="10748" max="10748" width="7.59765625" style="487"/>
    <col min="10749" max="10749" width="10.59765625" style="487" bestFit="1" customWidth="1"/>
    <col min="10750" max="10750" width="8.8984375" style="487" customWidth="1"/>
    <col min="10751" max="10753" width="8.09765625" style="487" bestFit="1" customWidth="1"/>
    <col min="10754" max="10754" width="9.09765625" style="487" bestFit="1" customWidth="1"/>
    <col min="10755" max="11002" width="7.59765625" style="487"/>
    <col min="11003" max="11003" width="40.5" style="487" customWidth="1"/>
    <col min="11004" max="11004" width="7.59765625" style="487"/>
    <col min="11005" max="11005" width="10.59765625" style="487" bestFit="1" customWidth="1"/>
    <col min="11006" max="11006" width="8.8984375" style="487" customWidth="1"/>
    <col min="11007" max="11009" width="8.09765625" style="487" bestFit="1" customWidth="1"/>
    <col min="11010" max="11010" width="9.09765625" style="487" bestFit="1" customWidth="1"/>
    <col min="11011" max="11258" width="7.59765625" style="487"/>
    <col min="11259" max="11259" width="40.5" style="487" customWidth="1"/>
    <col min="11260" max="11260" width="7.59765625" style="487"/>
    <col min="11261" max="11261" width="10.59765625" style="487" bestFit="1" customWidth="1"/>
    <col min="11262" max="11262" width="8.8984375" style="487" customWidth="1"/>
    <col min="11263" max="11265" width="8.09765625" style="487" bestFit="1" customWidth="1"/>
    <col min="11266" max="11266" width="9.09765625" style="487" bestFit="1" customWidth="1"/>
    <col min="11267" max="11514" width="7.59765625" style="487"/>
    <col min="11515" max="11515" width="40.5" style="487" customWidth="1"/>
    <col min="11516" max="11516" width="7.59765625" style="487"/>
    <col min="11517" max="11517" width="10.59765625" style="487" bestFit="1" customWidth="1"/>
    <col min="11518" max="11518" width="8.8984375" style="487" customWidth="1"/>
    <col min="11519" max="11521" width="8.09765625" style="487" bestFit="1" customWidth="1"/>
    <col min="11522" max="11522" width="9.09765625" style="487" bestFit="1" customWidth="1"/>
    <col min="11523" max="11770" width="7.59765625" style="487"/>
    <col min="11771" max="11771" width="40.5" style="487" customWidth="1"/>
    <col min="11772" max="11772" width="7.59765625" style="487"/>
    <col min="11773" max="11773" width="10.59765625" style="487" bestFit="1" customWidth="1"/>
    <col min="11774" max="11774" width="8.8984375" style="487" customWidth="1"/>
    <col min="11775" max="11777" width="8.09765625" style="487" bestFit="1" customWidth="1"/>
    <col min="11778" max="11778" width="9.09765625" style="487" bestFit="1" customWidth="1"/>
    <col min="11779" max="12026" width="7.59765625" style="487"/>
    <col min="12027" max="12027" width="40.5" style="487" customWidth="1"/>
    <col min="12028" max="12028" width="7.59765625" style="487"/>
    <col min="12029" max="12029" width="10.59765625" style="487" bestFit="1" customWidth="1"/>
    <col min="12030" max="12030" width="8.8984375" style="487" customWidth="1"/>
    <col min="12031" max="12033" width="8.09765625" style="487" bestFit="1" customWidth="1"/>
    <col min="12034" max="12034" width="9.09765625" style="487" bestFit="1" customWidth="1"/>
    <col min="12035" max="12282" width="7.59765625" style="487"/>
    <col min="12283" max="12283" width="40.5" style="487" customWidth="1"/>
    <col min="12284" max="12284" width="7.59765625" style="487"/>
    <col min="12285" max="12285" width="10.59765625" style="487" bestFit="1" customWidth="1"/>
    <col min="12286" max="12286" width="8.8984375" style="487" customWidth="1"/>
    <col min="12287" max="12289" width="8.09765625" style="487" bestFit="1" customWidth="1"/>
    <col min="12290" max="12290" width="9.09765625" style="487" bestFit="1" customWidth="1"/>
    <col min="12291" max="12538" width="7.59765625" style="487"/>
    <col min="12539" max="12539" width="40.5" style="487" customWidth="1"/>
    <col min="12540" max="12540" width="7.59765625" style="487"/>
    <col min="12541" max="12541" width="10.59765625" style="487" bestFit="1" customWidth="1"/>
    <col min="12542" max="12542" width="8.8984375" style="487" customWidth="1"/>
    <col min="12543" max="12545" width="8.09765625" style="487" bestFit="1" customWidth="1"/>
    <col min="12546" max="12546" width="9.09765625" style="487" bestFit="1" customWidth="1"/>
    <col min="12547" max="12794" width="7.59765625" style="487"/>
    <col min="12795" max="12795" width="40.5" style="487" customWidth="1"/>
    <col min="12796" max="12796" width="7.59765625" style="487"/>
    <col min="12797" max="12797" width="10.59765625" style="487" bestFit="1" customWidth="1"/>
    <col min="12798" max="12798" width="8.8984375" style="487" customWidth="1"/>
    <col min="12799" max="12801" width="8.09765625" style="487" bestFit="1" customWidth="1"/>
    <col min="12802" max="12802" width="9.09765625" style="487" bestFit="1" customWidth="1"/>
    <col min="12803" max="13050" width="7.59765625" style="487"/>
    <col min="13051" max="13051" width="40.5" style="487" customWidth="1"/>
    <col min="13052" max="13052" width="7.59765625" style="487"/>
    <col min="13053" max="13053" width="10.59765625" style="487" bestFit="1" customWidth="1"/>
    <col min="13054" max="13054" width="8.8984375" style="487" customWidth="1"/>
    <col min="13055" max="13057" width="8.09765625" style="487" bestFit="1" customWidth="1"/>
    <col min="13058" max="13058" width="9.09765625" style="487" bestFit="1" customWidth="1"/>
    <col min="13059" max="13306" width="7.59765625" style="487"/>
    <col min="13307" max="13307" width="40.5" style="487" customWidth="1"/>
    <col min="13308" max="13308" width="7.59765625" style="487"/>
    <col min="13309" max="13309" width="10.59765625" style="487" bestFit="1" customWidth="1"/>
    <col min="13310" max="13310" width="8.8984375" style="487" customWidth="1"/>
    <col min="13311" max="13313" width="8.09765625" style="487" bestFit="1" customWidth="1"/>
    <col min="13314" max="13314" width="9.09765625" style="487" bestFit="1" customWidth="1"/>
    <col min="13315" max="13562" width="7.59765625" style="487"/>
    <col min="13563" max="13563" width="40.5" style="487" customWidth="1"/>
    <col min="13564" max="13564" width="7.59765625" style="487"/>
    <col min="13565" max="13565" width="10.59765625" style="487" bestFit="1" customWidth="1"/>
    <col min="13566" max="13566" width="8.8984375" style="487" customWidth="1"/>
    <col min="13567" max="13569" width="8.09765625" style="487" bestFit="1" customWidth="1"/>
    <col min="13570" max="13570" width="9.09765625" style="487" bestFit="1" customWidth="1"/>
    <col min="13571" max="13818" width="7.59765625" style="487"/>
    <col min="13819" max="13819" width="40.5" style="487" customWidth="1"/>
    <col min="13820" max="13820" width="7.59765625" style="487"/>
    <col min="13821" max="13821" width="10.59765625" style="487" bestFit="1" customWidth="1"/>
    <col min="13822" max="13822" width="8.8984375" style="487" customWidth="1"/>
    <col min="13823" max="13825" width="8.09765625" style="487" bestFit="1" customWidth="1"/>
    <col min="13826" max="13826" width="9.09765625" style="487" bestFit="1" customWidth="1"/>
    <col min="13827" max="14074" width="7.59765625" style="487"/>
    <col min="14075" max="14075" width="40.5" style="487" customWidth="1"/>
    <col min="14076" max="14076" width="7.59765625" style="487"/>
    <col min="14077" max="14077" width="10.59765625" style="487" bestFit="1" customWidth="1"/>
    <col min="14078" max="14078" width="8.8984375" style="487" customWidth="1"/>
    <col min="14079" max="14081" width="8.09765625" style="487" bestFit="1" customWidth="1"/>
    <col min="14082" max="14082" width="9.09765625" style="487" bestFit="1" customWidth="1"/>
    <col min="14083" max="14330" width="7.59765625" style="487"/>
    <col min="14331" max="14331" width="40.5" style="487" customWidth="1"/>
    <col min="14332" max="14332" width="7.59765625" style="487"/>
    <col min="14333" max="14333" width="10.59765625" style="487" bestFit="1" customWidth="1"/>
    <col min="14334" max="14334" width="8.8984375" style="487" customWidth="1"/>
    <col min="14335" max="14337" width="8.09765625" style="487" bestFit="1" customWidth="1"/>
    <col min="14338" max="14338" width="9.09765625" style="487" bestFit="1" customWidth="1"/>
    <col min="14339" max="14586" width="7.59765625" style="487"/>
    <col min="14587" max="14587" width="40.5" style="487" customWidth="1"/>
    <col min="14588" max="14588" width="7.59765625" style="487"/>
    <col min="14589" max="14589" width="10.59765625" style="487" bestFit="1" customWidth="1"/>
    <col min="14590" max="14590" width="8.8984375" style="487" customWidth="1"/>
    <col min="14591" max="14593" width="8.09765625" style="487" bestFit="1" customWidth="1"/>
    <col min="14594" max="14594" width="9.09765625" style="487" bestFit="1" customWidth="1"/>
    <col min="14595" max="14842" width="7.59765625" style="487"/>
    <col min="14843" max="14843" width="40.5" style="487" customWidth="1"/>
    <col min="14844" max="14844" width="7.59765625" style="487"/>
    <col min="14845" max="14845" width="10.59765625" style="487" bestFit="1" customWidth="1"/>
    <col min="14846" max="14846" width="8.8984375" style="487" customWidth="1"/>
    <col min="14847" max="14849" width="8.09765625" style="487" bestFit="1" customWidth="1"/>
    <col min="14850" max="14850" width="9.09765625" style="487" bestFit="1" customWidth="1"/>
    <col min="14851" max="15098" width="7.59765625" style="487"/>
    <col min="15099" max="15099" width="40.5" style="487" customWidth="1"/>
    <col min="15100" max="15100" width="7.59765625" style="487"/>
    <col min="15101" max="15101" width="10.59765625" style="487" bestFit="1" customWidth="1"/>
    <col min="15102" max="15102" width="8.8984375" style="487" customWidth="1"/>
    <col min="15103" max="15105" width="8.09765625" style="487" bestFit="1" customWidth="1"/>
    <col min="15106" max="15106" width="9.09765625" style="487" bestFit="1" customWidth="1"/>
    <col min="15107" max="15354" width="7.59765625" style="487"/>
    <col min="15355" max="15355" width="40.5" style="487" customWidth="1"/>
    <col min="15356" max="15356" width="7.59765625" style="487"/>
    <col min="15357" max="15357" width="10.59765625" style="487" bestFit="1" customWidth="1"/>
    <col min="15358" max="15358" width="8.8984375" style="487" customWidth="1"/>
    <col min="15359" max="15361" width="8.09765625" style="487" bestFit="1" customWidth="1"/>
    <col min="15362" max="15362" width="9.09765625" style="487" bestFit="1" customWidth="1"/>
    <col min="15363" max="15610" width="7.59765625" style="487"/>
    <col min="15611" max="15611" width="40.5" style="487" customWidth="1"/>
    <col min="15612" max="15612" width="7.59765625" style="487"/>
    <col min="15613" max="15613" width="10.59765625" style="487" bestFit="1" customWidth="1"/>
    <col min="15614" max="15614" width="8.8984375" style="487" customWidth="1"/>
    <col min="15615" max="15617" width="8.09765625" style="487" bestFit="1" customWidth="1"/>
    <col min="15618" max="15618" width="9.09765625" style="487" bestFit="1" customWidth="1"/>
    <col min="15619" max="15866" width="7.59765625" style="487"/>
    <col min="15867" max="15867" width="40.5" style="487" customWidth="1"/>
    <col min="15868" max="15868" width="7.59765625" style="487"/>
    <col min="15869" max="15869" width="10.59765625" style="487" bestFit="1" customWidth="1"/>
    <col min="15870" max="15870" width="8.8984375" style="487" customWidth="1"/>
    <col min="15871" max="15873" width="8.09765625" style="487" bestFit="1" customWidth="1"/>
    <col min="15874" max="15874" width="9.09765625" style="487" bestFit="1" customWidth="1"/>
    <col min="15875" max="16122" width="7.59765625" style="487"/>
    <col min="16123" max="16123" width="40.5" style="487" customWidth="1"/>
    <col min="16124" max="16124" width="7.59765625" style="487"/>
    <col min="16125" max="16125" width="10.59765625" style="487" bestFit="1" customWidth="1"/>
    <col min="16126" max="16126" width="8.8984375" style="487" customWidth="1"/>
    <col min="16127" max="16129" width="8.09765625" style="487" bestFit="1" customWidth="1"/>
    <col min="16130" max="16130" width="9.09765625" style="487" bestFit="1" customWidth="1"/>
    <col min="16131" max="16384" width="7.59765625" style="487"/>
  </cols>
  <sheetData>
    <row r="1" spans="1:32" x14ac:dyDescent="0.3">
      <c r="G1" s="487"/>
      <c r="H1" s="464" t="s">
        <v>708</v>
      </c>
    </row>
    <row r="2" spans="1:32" x14ac:dyDescent="0.3">
      <c r="G2" s="487"/>
      <c r="H2" s="464" t="s">
        <v>709</v>
      </c>
    </row>
    <row r="3" spans="1:32" ht="24" customHeight="1" x14ac:dyDescent="0.3">
      <c r="B3" s="546"/>
      <c r="C3" s="547" t="s">
        <v>465</v>
      </c>
      <c r="D3" s="548"/>
      <c r="E3" s="549"/>
      <c r="F3" s="547"/>
      <c r="G3" s="550"/>
      <c r="H3" s="256"/>
      <c r="I3" s="256"/>
      <c r="J3" s="256"/>
      <c r="K3" s="132"/>
    </row>
    <row r="4" spans="1:32" ht="6.75" customHeight="1" thickBot="1" x14ac:dyDescent="0.35">
      <c r="B4" s="546"/>
      <c r="C4" s="547"/>
      <c r="D4" s="548"/>
      <c r="E4" s="547"/>
      <c r="F4" s="547"/>
      <c r="G4" s="550"/>
      <c r="H4" s="256"/>
      <c r="I4" s="256"/>
      <c r="J4" s="256"/>
      <c r="K4" s="132"/>
    </row>
    <row r="5" spans="1:32" ht="19.2" thickTop="1" thickBot="1" x14ac:dyDescent="0.35">
      <c r="B5" s="546"/>
      <c r="C5" s="616" t="str">
        <f>_xlfn.CONCAT('1.Úvodní parametry'!B3," ",J5)</f>
        <v>Veškeré uvedené hodnoty jsou v Kč včetně DPH</v>
      </c>
      <c r="D5" s="551"/>
      <c r="E5" s="552"/>
      <c r="F5" s="552"/>
      <c r="G5" s="553"/>
      <c r="H5" s="554"/>
      <c r="I5" s="554"/>
      <c r="J5" s="555" t="s">
        <v>43</v>
      </c>
      <c r="K5" s="132"/>
    </row>
    <row r="6" spans="1:32" ht="15.6" thickTop="1" thickBot="1" x14ac:dyDescent="0.35">
      <c r="B6" s="546"/>
      <c r="C6" s="556" t="str">
        <f>_xlfn.CONCAT("Celkové náklady za ",DelkaProjektu," ",'1.Úvodní parametry'!I7," provozu")</f>
        <v>Celkové náklady za 5 let provozu</v>
      </c>
      <c r="D6" s="557"/>
      <c r="E6" s="558"/>
      <c r="F6" s="559"/>
      <c r="G6" s="559"/>
      <c r="H6" s="559"/>
      <c r="I6" s="559"/>
      <c r="J6" s="559"/>
      <c r="K6" s="165">
        <v>5</v>
      </c>
    </row>
    <row r="7" spans="1:32" s="564" customFormat="1" ht="15.75" customHeight="1" x14ac:dyDescent="0.3">
      <c r="A7" s="302"/>
      <c r="B7" s="560"/>
      <c r="C7" s="561" t="s">
        <v>466</v>
      </c>
      <c r="D7" s="561" t="str">
        <f>JenotkaMěny</f>
        <v>Kč</v>
      </c>
      <c r="E7" s="562"/>
      <c r="F7" s="562"/>
      <c r="G7" s="562"/>
      <c r="H7" s="562"/>
      <c r="I7" s="562"/>
      <c r="J7" s="617">
        <f>J140</f>
        <v>0</v>
      </c>
      <c r="K7" s="597"/>
      <c r="L7" s="598"/>
      <c r="M7" s="598"/>
      <c r="N7" s="598"/>
      <c r="O7" s="598"/>
      <c r="P7" s="599"/>
      <c r="Q7" s="599"/>
      <c r="R7" s="599"/>
      <c r="S7" s="599"/>
      <c r="T7" s="563"/>
      <c r="U7" s="563"/>
      <c r="V7" s="563"/>
      <c r="W7" s="563"/>
      <c r="X7" s="563"/>
      <c r="Y7" s="563"/>
      <c r="Z7" s="563"/>
      <c r="AA7" s="563"/>
      <c r="AB7" s="563"/>
      <c r="AC7" s="563"/>
      <c r="AD7" s="563"/>
      <c r="AE7" s="563"/>
      <c r="AF7" s="563"/>
    </row>
    <row r="8" spans="1:32" s="564" customFormat="1" ht="15.75" customHeight="1" thickBot="1" x14ac:dyDescent="0.35">
      <c r="A8" s="302"/>
      <c r="B8" s="560"/>
      <c r="C8" s="561" t="s">
        <v>467</v>
      </c>
      <c r="D8" s="561" t="str">
        <f>JenotkaMěny</f>
        <v>Kč</v>
      </c>
      <c r="E8" s="562"/>
      <c r="F8" s="562"/>
      <c r="G8" s="562"/>
      <c r="H8" s="562"/>
      <c r="I8" s="562"/>
      <c r="J8" s="617">
        <f>J222</f>
        <v>0</v>
      </c>
      <c r="K8" s="597"/>
      <c r="L8" s="598"/>
      <c r="M8" s="598"/>
      <c r="N8" s="598"/>
      <c r="O8" s="598"/>
      <c r="P8" s="599"/>
      <c r="Q8" s="599"/>
      <c r="R8" s="599"/>
      <c r="S8" s="599"/>
      <c r="T8" s="563"/>
      <c r="U8" s="563"/>
      <c r="V8" s="563"/>
      <c r="W8" s="563"/>
      <c r="X8" s="563"/>
      <c r="Y8" s="563"/>
      <c r="Z8" s="563"/>
      <c r="AA8" s="563"/>
      <c r="AB8" s="563"/>
      <c r="AC8" s="563"/>
      <c r="AD8" s="563"/>
      <c r="AE8" s="563"/>
      <c r="AF8" s="563"/>
    </row>
    <row r="9" spans="1:32" s="564" customFormat="1" ht="24" customHeight="1" thickTop="1" thickBot="1" x14ac:dyDescent="0.35">
      <c r="A9" s="302"/>
      <c r="B9" s="560"/>
      <c r="C9" s="565" t="s">
        <v>682</v>
      </c>
      <c r="D9" s="566" t="str">
        <f>JenotkaMěny</f>
        <v>Kč</v>
      </c>
      <c r="E9" s="567"/>
      <c r="F9" s="567"/>
      <c r="G9" s="567"/>
      <c r="H9" s="567"/>
      <c r="I9" s="567"/>
      <c r="J9" s="618">
        <f>CelkemNakladyCloud-CelkemNakladyOnpremise</f>
        <v>0</v>
      </c>
      <c r="K9" s="597"/>
      <c r="L9" s="598"/>
      <c r="M9" s="598"/>
      <c r="N9" s="598"/>
      <c r="O9" s="598"/>
      <c r="P9" s="599"/>
      <c r="Q9" s="599"/>
      <c r="R9" s="599"/>
      <c r="S9" s="599"/>
      <c r="T9" s="563"/>
      <c r="U9" s="563"/>
      <c r="V9" s="563"/>
      <c r="W9" s="563"/>
      <c r="X9" s="563"/>
      <c r="Y9" s="563"/>
      <c r="Z9" s="563"/>
      <c r="AA9" s="563"/>
      <c r="AB9" s="563"/>
      <c r="AC9" s="563"/>
      <c r="AD9" s="563"/>
      <c r="AE9" s="563"/>
      <c r="AF9" s="563"/>
    </row>
    <row r="10" spans="1:32" s="564" customFormat="1" ht="24" customHeight="1" thickTop="1" thickBot="1" x14ac:dyDescent="0.35">
      <c r="A10" s="302"/>
      <c r="B10" s="560"/>
      <c r="C10" s="568"/>
      <c r="D10" s="568"/>
      <c r="E10" s="569"/>
      <c r="F10" s="569"/>
      <c r="G10" s="569"/>
      <c r="H10" s="569"/>
      <c r="I10" s="569"/>
      <c r="J10" s="619"/>
      <c r="K10" s="597"/>
      <c r="L10" s="598"/>
      <c r="M10" s="598"/>
      <c r="N10" s="598"/>
      <c r="O10" s="598"/>
      <c r="P10" s="599"/>
      <c r="Q10" s="599"/>
      <c r="R10" s="599"/>
      <c r="S10" s="599"/>
      <c r="T10" s="563"/>
      <c r="U10" s="563"/>
      <c r="V10" s="563"/>
      <c r="W10" s="563"/>
      <c r="X10" s="563"/>
      <c r="Y10" s="563"/>
      <c r="Z10" s="563"/>
      <c r="AA10" s="563"/>
      <c r="AB10" s="563"/>
      <c r="AC10" s="563"/>
      <c r="AD10" s="563"/>
      <c r="AE10" s="563"/>
      <c r="AF10" s="563"/>
    </row>
    <row r="11" spans="1:32" s="564" customFormat="1" ht="15.75" customHeight="1" thickBot="1" x14ac:dyDescent="0.35">
      <c r="A11" s="302"/>
      <c r="B11" s="560"/>
      <c r="C11" s="571" t="str">
        <f>_xlfn.CONCAT("Náklady na 1 uživatele za ",DelkaProjektu," ",'1.Úvodní parametry'!I7," provozu")</f>
        <v>Náklady na 1 uživatele za 5 let provozu</v>
      </c>
      <c r="D11" s="572"/>
      <c r="E11" s="265"/>
      <c r="F11" s="573"/>
      <c r="G11" s="573"/>
      <c r="H11" s="573"/>
      <c r="I11" s="573"/>
      <c r="J11" s="620"/>
      <c r="K11" s="597"/>
      <c r="L11" s="598"/>
      <c r="M11" s="598"/>
      <c r="N11" s="598"/>
      <c r="O11" s="598"/>
      <c r="P11" s="599"/>
      <c r="Q11" s="599"/>
      <c r="R11" s="599"/>
      <c r="S11" s="599"/>
      <c r="T11" s="563"/>
      <c r="U11" s="563"/>
      <c r="V11" s="563"/>
      <c r="W11" s="563"/>
      <c r="X11" s="563"/>
      <c r="Y11" s="563"/>
      <c r="Z11" s="563"/>
      <c r="AA11" s="563"/>
      <c r="AB11" s="563"/>
      <c r="AC11" s="563"/>
      <c r="AD11" s="563"/>
      <c r="AE11" s="563"/>
      <c r="AF11" s="563"/>
    </row>
    <row r="12" spans="1:32" s="564" customFormat="1" ht="15.75" customHeight="1" x14ac:dyDescent="0.3">
      <c r="A12" s="302"/>
      <c r="B12" s="560"/>
      <c r="C12" s="561" t="s">
        <v>466</v>
      </c>
      <c r="D12" s="561" t="str">
        <f>JenotkaMěny</f>
        <v>Kč</v>
      </c>
      <c r="E12" s="562"/>
      <c r="F12" s="562"/>
      <c r="G12" s="562"/>
      <c r="H12" s="562"/>
      <c r="I12" s="562"/>
      <c r="J12" s="617">
        <f>CelkemNakladyOnpremise/PocetUzivatelu</f>
        <v>0</v>
      </c>
      <c r="K12" s="597"/>
      <c r="L12" s="598"/>
      <c r="M12" s="598"/>
      <c r="N12" s="598"/>
      <c r="O12" s="598"/>
      <c r="P12" s="599"/>
      <c r="Q12" s="599"/>
      <c r="R12" s="599"/>
      <c r="S12" s="599"/>
      <c r="T12" s="563"/>
      <c r="U12" s="563"/>
      <c r="V12" s="563"/>
      <c r="W12" s="563"/>
      <c r="X12" s="563"/>
      <c r="Y12" s="563"/>
      <c r="Z12" s="563"/>
      <c r="AA12" s="563"/>
      <c r="AB12" s="563"/>
      <c r="AC12" s="563"/>
      <c r="AD12" s="563"/>
      <c r="AE12" s="563"/>
      <c r="AF12" s="563"/>
    </row>
    <row r="13" spans="1:32" s="564" customFormat="1" ht="15.75" customHeight="1" thickBot="1" x14ac:dyDescent="0.35">
      <c r="A13" s="302"/>
      <c r="B13" s="560"/>
      <c r="C13" s="561" t="s">
        <v>467</v>
      </c>
      <c r="D13" s="561" t="str">
        <f>JenotkaMěny</f>
        <v>Kč</v>
      </c>
      <c r="E13" s="562"/>
      <c r="F13" s="562"/>
      <c r="G13" s="562"/>
      <c r="H13" s="562"/>
      <c r="I13" s="562"/>
      <c r="J13" s="617">
        <f>CelkemNakladyCloud/PocetUzivatelu</f>
        <v>0</v>
      </c>
      <c r="K13" s="597"/>
      <c r="L13" s="598"/>
      <c r="M13" s="598"/>
      <c r="N13" s="598"/>
      <c r="O13" s="598"/>
      <c r="P13" s="599"/>
      <c r="Q13" s="599"/>
      <c r="R13" s="599"/>
      <c r="S13" s="599"/>
      <c r="T13" s="563"/>
      <c r="U13" s="563"/>
      <c r="V13" s="563"/>
      <c r="W13" s="563"/>
      <c r="X13" s="563"/>
      <c r="Y13" s="563"/>
      <c r="Z13" s="563"/>
      <c r="AA13" s="563"/>
      <c r="AB13" s="563"/>
      <c r="AC13" s="563"/>
      <c r="AD13" s="563"/>
      <c r="AE13" s="563"/>
      <c r="AF13" s="563"/>
    </row>
    <row r="14" spans="1:32" s="564" customFormat="1" ht="24" customHeight="1" thickTop="1" thickBot="1" x14ac:dyDescent="0.35">
      <c r="A14" s="302"/>
      <c r="B14" s="560"/>
      <c r="C14" s="565" t="s">
        <v>683</v>
      </c>
      <c r="D14" s="566" t="str">
        <f>JenotkaMěny</f>
        <v>Kč</v>
      </c>
      <c r="E14" s="567"/>
      <c r="F14" s="567"/>
      <c r="G14" s="567"/>
      <c r="H14" s="567"/>
      <c r="I14" s="567"/>
      <c r="J14" s="618">
        <f>J13-J12</f>
        <v>0</v>
      </c>
      <c r="K14" s="597"/>
      <c r="L14" s="598"/>
      <c r="M14" s="598"/>
      <c r="N14" s="598"/>
      <c r="O14" s="598"/>
      <c r="P14" s="599"/>
      <c r="Q14" s="599"/>
      <c r="R14" s="599"/>
      <c r="S14" s="599"/>
      <c r="T14" s="563"/>
      <c r="U14" s="563"/>
      <c r="V14" s="563"/>
      <c r="W14" s="563"/>
      <c r="X14" s="563"/>
      <c r="Y14" s="563"/>
      <c r="Z14" s="563"/>
      <c r="AA14" s="563"/>
      <c r="AB14" s="563"/>
      <c r="AC14" s="563"/>
      <c r="AD14" s="563"/>
      <c r="AE14" s="563"/>
      <c r="AF14" s="563"/>
    </row>
    <row r="15" spans="1:32" s="564" customFormat="1" ht="24" customHeight="1" thickTop="1" thickBot="1" x14ac:dyDescent="0.35">
      <c r="A15" s="302"/>
      <c r="B15" s="560"/>
      <c r="C15" s="574"/>
      <c r="D15" s="574"/>
      <c r="E15" s="575"/>
      <c r="F15" s="575"/>
      <c r="G15" s="575"/>
      <c r="H15" s="575"/>
      <c r="I15" s="575"/>
      <c r="J15" s="621"/>
      <c r="K15" s="597"/>
      <c r="L15" s="598"/>
      <c r="M15" s="598"/>
      <c r="N15" s="598"/>
      <c r="O15" s="598"/>
      <c r="P15" s="599"/>
      <c r="Q15" s="599"/>
      <c r="R15" s="599"/>
      <c r="S15" s="599"/>
      <c r="T15" s="563"/>
      <c r="U15" s="563"/>
      <c r="V15" s="563"/>
      <c r="W15" s="563"/>
      <c r="X15" s="563"/>
      <c r="Y15" s="563"/>
      <c r="Z15" s="563"/>
      <c r="AA15" s="563"/>
      <c r="AB15" s="563"/>
      <c r="AC15" s="563"/>
      <c r="AD15" s="563"/>
      <c r="AE15" s="563"/>
      <c r="AF15" s="563"/>
    </row>
    <row r="16" spans="1:32" s="564" customFormat="1" ht="24" customHeight="1" thickBot="1" x14ac:dyDescent="0.35">
      <c r="A16" s="302"/>
      <c r="B16" s="560"/>
      <c r="C16" s="571" t="s">
        <v>468</v>
      </c>
      <c r="D16" s="572"/>
      <c r="E16" s="576" t="s">
        <v>469</v>
      </c>
      <c r="F16" s="576" t="s">
        <v>7</v>
      </c>
      <c r="G16" s="573"/>
      <c r="H16" s="573"/>
      <c r="I16" s="573"/>
      <c r="J16" s="620"/>
      <c r="K16" s="597"/>
      <c r="L16" s="598"/>
      <c r="M16" s="598"/>
      <c r="N16" s="598"/>
      <c r="O16" s="598"/>
      <c r="P16" s="599"/>
      <c r="Q16" s="599"/>
      <c r="R16" s="599"/>
      <c r="S16" s="599"/>
      <c r="T16" s="563"/>
      <c r="U16" s="563"/>
      <c r="V16" s="563"/>
      <c r="W16" s="563"/>
      <c r="X16" s="563"/>
      <c r="Y16" s="563"/>
      <c r="Z16" s="563"/>
      <c r="AA16" s="563"/>
      <c r="AB16" s="563"/>
      <c r="AC16" s="563"/>
      <c r="AD16" s="563"/>
      <c r="AE16" s="563"/>
      <c r="AF16" s="563"/>
    </row>
    <row r="17" spans="1:32" s="564" customFormat="1" ht="15.75" customHeight="1" x14ac:dyDescent="0.3">
      <c r="A17" s="302"/>
      <c r="B17" s="560"/>
      <c r="C17" s="577" t="s">
        <v>698</v>
      </c>
      <c r="D17" s="578" t="str">
        <f>'1.Úvodní parametry'!$D$35</f>
        <v>Počet MD</v>
      </c>
      <c r="E17" s="622">
        <v>1</v>
      </c>
      <c r="F17" s="623"/>
      <c r="G17" s="579"/>
      <c r="H17" s="579"/>
      <c r="I17" s="579"/>
      <c r="J17" s="51">
        <f>('2. Vstupní data on-premise '!C301+'2. Vstupní data on-premise '!D301+'2. Vstupní data on-premise '!F301)/8</f>
        <v>0</v>
      </c>
      <c r="K17" s="597"/>
      <c r="L17" s="598"/>
      <c r="M17" s="598"/>
      <c r="N17" s="598"/>
      <c r="O17" s="598"/>
      <c r="P17" s="599"/>
      <c r="Q17" s="599"/>
      <c r="R17" s="599"/>
      <c r="S17" s="599"/>
      <c r="T17" s="563"/>
      <c r="U17" s="563"/>
      <c r="V17" s="563"/>
      <c r="W17" s="563"/>
      <c r="X17" s="563"/>
      <c r="Y17" s="563"/>
      <c r="Z17" s="563"/>
      <c r="AA17" s="563"/>
      <c r="AB17" s="563"/>
      <c r="AC17" s="563"/>
      <c r="AD17" s="563"/>
      <c r="AE17" s="563"/>
      <c r="AF17" s="563"/>
    </row>
    <row r="18" spans="1:32" s="564" customFormat="1" ht="15.75" customHeight="1" x14ac:dyDescent="0.3">
      <c r="A18" s="302"/>
      <c r="B18" s="560"/>
      <c r="C18" s="577" t="s">
        <v>699</v>
      </c>
      <c r="D18" s="578" t="str">
        <f>'1.Úvodní parametry'!$D$35</f>
        <v>Počet MD</v>
      </c>
      <c r="E18" s="624"/>
      <c r="F18" s="622">
        <f>DelkaProjektu</f>
        <v>5</v>
      </c>
      <c r="G18" s="579"/>
      <c r="H18" s="579"/>
      <c r="I18" s="579"/>
      <c r="J18" s="51">
        <f>((('2. Vstupní data on-premise '!C294+'2. Vstupní data on-premise '!D294+'2. Vstupní data on-premise '!F294)/8)*'4. Kalkulace TCO a Porovnání'!F18)</f>
        <v>0</v>
      </c>
      <c r="K18" s="597"/>
      <c r="L18" s="598"/>
      <c r="M18" s="598"/>
      <c r="N18" s="598" t="s">
        <v>470</v>
      </c>
      <c r="O18" s="598"/>
      <c r="P18" s="599"/>
      <c r="Q18" s="599"/>
      <c r="R18" s="599"/>
      <c r="S18" s="599"/>
      <c r="T18" s="563"/>
      <c r="U18" s="563"/>
      <c r="V18" s="563"/>
      <c r="W18" s="563"/>
      <c r="X18" s="563"/>
      <c r="Y18" s="563"/>
      <c r="Z18" s="563"/>
      <c r="AA18" s="563"/>
      <c r="AB18" s="563"/>
      <c r="AC18" s="563"/>
      <c r="AD18" s="563"/>
      <c r="AE18" s="563"/>
      <c r="AF18" s="563"/>
    </row>
    <row r="19" spans="1:32" s="564" customFormat="1" ht="15.75" customHeight="1" x14ac:dyDescent="0.3">
      <c r="A19" s="302"/>
      <c r="B19" s="560"/>
      <c r="C19" s="577" t="s">
        <v>700</v>
      </c>
      <c r="D19" s="578" t="str">
        <f>'1.Úvodní parametry'!$D$35</f>
        <v>Počet MD</v>
      </c>
      <c r="E19" s="622">
        <v>1</v>
      </c>
      <c r="F19" s="623"/>
      <c r="G19" s="579"/>
      <c r="H19" s="579"/>
      <c r="I19" s="579"/>
      <c r="J19" s="51">
        <f>('3. Vstupní data cloud'!C199+'3. Vstupní data cloud'!D199+'3. Vstupní data cloud'!F199)/8</f>
        <v>0</v>
      </c>
      <c r="K19" s="597"/>
      <c r="L19" s="598"/>
      <c r="M19" s="598"/>
      <c r="N19" s="598" t="s">
        <v>471</v>
      </c>
      <c r="O19" s="598"/>
      <c r="P19" s="599"/>
      <c r="Q19" s="599"/>
      <c r="R19" s="599"/>
      <c r="S19" s="599"/>
      <c r="T19" s="563"/>
      <c r="U19" s="563"/>
      <c r="V19" s="563"/>
      <c r="W19" s="563"/>
      <c r="X19" s="563"/>
      <c r="Y19" s="563"/>
      <c r="Z19" s="563"/>
      <c r="AA19" s="563"/>
      <c r="AB19" s="563"/>
      <c r="AC19" s="563"/>
      <c r="AD19" s="563"/>
      <c r="AE19" s="563"/>
      <c r="AF19" s="563"/>
    </row>
    <row r="20" spans="1:32" s="564" customFormat="1" ht="15.75" customHeight="1" thickBot="1" x14ac:dyDescent="0.35">
      <c r="A20" s="302"/>
      <c r="B20" s="560"/>
      <c r="C20" s="577" t="s">
        <v>701</v>
      </c>
      <c r="D20" s="578" t="str">
        <f>'1.Úvodní parametry'!$D$35</f>
        <v>Počet MD</v>
      </c>
      <c r="E20" s="624"/>
      <c r="F20" s="622">
        <f>DelkaProjektu</f>
        <v>5</v>
      </c>
      <c r="G20" s="579"/>
      <c r="H20" s="579"/>
      <c r="I20" s="579"/>
      <c r="J20" s="51">
        <f>((('3. Vstupní data cloud'!C192+'3. Vstupní data cloud'!D192+'3. Vstupní data cloud'!F192)/8)*'4. Kalkulace TCO a Porovnání'!F20)</f>
        <v>0</v>
      </c>
      <c r="K20" s="597"/>
      <c r="L20" s="598"/>
      <c r="M20" s="598"/>
      <c r="N20" s="598"/>
      <c r="O20" s="598"/>
      <c r="P20" s="599"/>
      <c r="Q20" s="599"/>
      <c r="R20" s="599"/>
      <c r="S20" s="599"/>
      <c r="T20" s="563"/>
      <c r="U20" s="563"/>
      <c r="V20" s="563"/>
      <c r="W20" s="563"/>
      <c r="X20" s="563"/>
      <c r="Y20" s="563"/>
      <c r="Z20" s="563"/>
      <c r="AA20" s="563"/>
      <c r="AB20" s="563"/>
      <c r="AC20" s="563"/>
      <c r="AD20" s="563"/>
      <c r="AE20" s="563"/>
      <c r="AF20" s="563"/>
    </row>
    <row r="21" spans="1:32" s="564" customFormat="1" ht="17.399999999999999" customHeight="1" thickTop="1" thickBot="1" x14ac:dyDescent="0.35">
      <c r="A21" s="302"/>
      <c r="B21" s="560"/>
      <c r="C21" s="580" t="s">
        <v>685</v>
      </c>
      <c r="D21" s="581" t="str">
        <f>'1.Úvodní parametry'!$D$35</f>
        <v>Počet MD</v>
      </c>
      <c r="E21" s="581"/>
      <c r="F21" s="582"/>
      <c r="G21" s="583"/>
      <c r="H21" s="583"/>
      <c r="I21" s="583"/>
      <c r="J21" s="110">
        <f>J19-J17</f>
        <v>0</v>
      </c>
      <c r="K21" s="597"/>
      <c r="L21" s="598"/>
      <c r="M21" s="598"/>
      <c r="N21" s="598"/>
      <c r="O21" s="598"/>
      <c r="P21" s="599"/>
      <c r="Q21" s="599"/>
      <c r="R21" s="599"/>
      <c r="S21" s="599"/>
      <c r="T21" s="563"/>
      <c r="U21" s="563"/>
      <c r="V21" s="563"/>
      <c r="W21" s="563"/>
      <c r="X21" s="563"/>
      <c r="Y21" s="563"/>
      <c r="Z21" s="563"/>
      <c r="AA21" s="563"/>
      <c r="AB21" s="563"/>
      <c r="AC21" s="563"/>
      <c r="AD21" s="563"/>
      <c r="AE21" s="563"/>
      <c r="AF21" s="563"/>
    </row>
    <row r="22" spans="1:32" s="564" customFormat="1" ht="17.399999999999999" customHeight="1" thickTop="1" thickBot="1" x14ac:dyDescent="0.35">
      <c r="A22" s="302"/>
      <c r="B22" s="560"/>
      <c r="C22" s="584" t="s">
        <v>684</v>
      </c>
      <c r="D22" s="585" t="str">
        <f>'1.Úvodní parametry'!$D$35</f>
        <v>Počet MD</v>
      </c>
      <c r="E22" s="585"/>
      <c r="F22" s="586"/>
      <c r="G22" s="587"/>
      <c r="H22" s="587"/>
      <c r="I22" s="587"/>
      <c r="J22" s="110">
        <f>J20-J18</f>
        <v>0</v>
      </c>
      <c r="K22" s="597"/>
      <c r="L22" s="598"/>
      <c r="M22" s="598"/>
      <c r="N22" s="598"/>
      <c r="O22" s="598"/>
      <c r="P22" s="599"/>
      <c r="Q22" s="599"/>
      <c r="R22" s="599"/>
      <c r="S22" s="599"/>
      <c r="T22" s="563"/>
      <c r="U22" s="563"/>
      <c r="V22" s="563"/>
      <c r="W22" s="563"/>
      <c r="X22" s="563"/>
      <c r="Y22" s="563"/>
      <c r="Z22" s="563"/>
      <c r="AA22" s="563"/>
      <c r="AB22" s="563"/>
      <c r="AC22" s="563"/>
      <c r="AD22" s="563"/>
      <c r="AE22" s="563"/>
      <c r="AF22" s="563"/>
    </row>
    <row r="23" spans="1:32" s="564" customFormat="1" ht="15.75" customHeight="1" thickTop="1" x14ac:dyDescent="0.3">
      <c r="A23" s="302"/>
      <c r="B23" s="560"/>
      <c r="C23" s="588"/>
      <c r="D23" s="589"/>
      <c r="E23" s="590"/>
      <c r="F23" s="591"/>
      <c r="G23" s="592"/>
      <c r="H23" s="592"/>
      <c r="I23" s="592"/>
      <c r="J23" s="593"/>
      <c r="K23" s="597"/>
      <c r="L23" s="598"/>
      <c r="M23" s="598"/>
      <c r="N23" s="598"/>
      <c r="O23" s="598"/>
      <c r="P23" s="599"/>
      <c r="Q23" s="599"/>
      <c r="R23" s="599"/>
      <c r="S23" s="599"/>
      <c r="T23" s="563"/>
      <c r="U23" s="563"/>
      <c r="V23" s="563"/>
      <c r="W23" s="563"/>
      <c r="X23" s="563"/>
      <c r="Y23" s="563"/>
      <c r="Z23" s="563"/>
      <c r="AA23" s="563"/>
      <c r="AB23" s="563"/>
      <c r="AC23" s="563"/>
      <c r="AD23" s="563"/>
      <c r="AE23" s="563"/>
      <c r="AF23" s="563"/>
    </row>
    <row r="24" spans="1:32" s="564" customFormat="1" ht="24" customHeight="1" x14ac:dyDescent="0.3">
      <c r="A24" s="302"/>
      <c r="B24" s="560"/>
      <c r="C24" s="568"/>
      <c r="D24" s="568"/>
      <c r="E24" s="569"/>
      <c r="F24" s="569"/>
      <c r="G24" s="569"/>
      <c r="H24" s="569"/>
      <c r="I24" s="569"/>
      <c r="J24" s="570"/>
      <c r="K24" s="597"/>
      <c r="L24" s="598"/>
      <c r="M24" s="598"/>
      <c r="N24" s="598"/>
      <c r="O24" s="598"/>
      <c r="P24" s="599"/>
      <c r="Q24" s="599"/>
      <c r="R24" s="599"/>
      <c r="S24" s="599"/>
      <c r="T24" s="563"/>
      <c r="U24" s="563"/>
      <c r="V24" s="563"/>
      <c r="W24" s="563"/>
      <c r="X24" s="563"/>
      <c r="Y24" s="563"/>
      <c r="Z24" s="563"/>
      <c r="AA24" s="563"/>
      <c r="AB24" s="563"/>
      <c r="AC24" s="563"/>
      <c r="AD24" s="563"/>
      <c r="AE24" s="563"/>
      <c r="AF24" s="563"/>
    </row>
    <row r="25" spans="1:32" s="564" customFormat="1" ht="201" customHeight="1" x14ac:dyDescent="0.3">
      <c r="A25" s="302"/>
      <c r="B25" s="560"/>
      <c r="C25" s="568"/>
      <c r="D25" s="568"/>
      <c r="E25" s="569"/>
      <c r="F25" s="569"/>
      <c r="G25" s="569"/>
      <c r="H25" s="569"/>
      <c r="I25" s="569"/>
      <c r="J25" s="570"/>
      <c r="K25" s="597"/>
      <c r="L25" s="598"/>
      <c r="M25" s="598"/>
      <c r="N25" s="598"/>
      <c r="O25" s="598"/>
      <c r="P25" s="599"/>
      <c r="Q25" s="599"/>
      <c r="R25" s="599"/>
      <c r="S25" s="599"/>
      <c r="T25" s="563"/>
      <c r="U25" s="563"/>
      <c r="V25" s="563"/>
      <c r="W25" s="563"/>
      <c r="X25" s="563"/>
      <c r="Y25" s="563"/>
      <c r="Z25" s="563"/>
      <c r="AA25" s="563"/>
      <c r="AB25" s="563"/>
      <c r="AC25" s="563"/>
      <c r="AD25" s="563"/>
      <c r="AE25" s="563"/>
      <c r="AF25" s="563"/>
    </row>
    <row r="26" spans="1:32" s="564" customFormat="1" ht="9.75" customHeight="1" x14ac:dyDescent="0.3">
      <c r="A26" s="302"/>
      <c r="B26" s="560"/>
      <c r="C26" s="568"/>
      <c r="D26" s="568"/>
      <c r="E26" s="569"/>
      <c r="F26" s="569"/>
      <c r="G26" s="569"/>
      <c r="H26" s="569"/>
      <c r="I26" s="569"/>
      <c r="J26" s="570"/>
      <c r="K26" s="597"/>
      <c r="L26" s="598"/>
      <c r="M26" s="598"/>
      <c r="N26" s="598"/>
      <c r="O26" s="598"/>
      <c r="P26" s="599"/>
      <c r="Q26" s="599"/>
      <c r="R26" s="599"/>
      <c r="S26" s="599"/>
      <c r="T26" s="563"/>
      <c r="U26" s="563"/>
      <c r="V26" s="563"/>
      <c r="W26" s="563"/>
      <c r="X26" s="563"/>
      <c r="Y26" s="563"/>
      <c r="Z26" s="563"/>
      <c r="AA26" s="563"/>
      <c r="AB26" s="563"/>
      <c r="AC26" s="563"/>
      <c r="AD26" s="563"/>
      <c r="AE26" s="563"/>
      <c r="AF26" s="563"/>
    </row>
    <row r="27" spans="1:32" s="564" customFormat="1" ht="257.25" customHeight="1" x14ac:dyDescent="0.3">
      <c r="A27" s="302"/>
      <c r="B27" s="560"/>
      <c r="C27" s="568"/>
      <c r="D27" s="568"/>
      <c r="E27" s="569"/>
      <c r="F27" s="569"/>
      <c r="G27" s="569"/>
      <c r="H27" s="569"/>
      <c r="I27" s="569"/>
      <c r="J27" s="570"/>
      <c r="K27" s="597"/>
      <c r="L27" s="598"/>
      <c r="M27" s="598"/>
      <c r="N27" s="598"/>
      <c r="O27" s="598"/>
      <c r="P27" s="599"/>
      <c r="Q27" s="599"/>
      <c r="R27" s="599"/>
      <c r="S27" s="599"/>
      <c r="T27" s="563"/>
      <c r="U27" s="563"/>
      <c r="V27" s="563"/>
      <c r="W27" s="563"/>
      <c r="X27" s="563"/>
      <c r="Y27" s="563"/>
      <c r="Z27" s="563"/>
      <c r="AA27" s="563"/>
      <c r="AB27" s="563"/>
      <c r="AC27" s="563"/>
      <c r="AD27" s="563"/>
      <c r="AE27" s="563"/>
      <c r="AF27" s="563"/>
    </row>
    <row r="28" spans="1:32" s="564" customFormat="1" ht="12" customHeight="1" x14ac:dyDescent="0.3">
      <c r="A28" s="302"/>
      <c r="B28" s="560"/>
      <c r="C28" s="568"/>
      <c r="D28" s="568"/>
      <c r="E28" s="569"/>
      <c r="F28" s="569"/>
      <c r="G28" s="569"/>
      <c r="H28" s="569"/>
      <c r="I28" s="569"/>
      <c r="J28" s="570"/>
      <c r="K28" s="597"/>
      <c r="L28" s="598"/>
      <c r="M28" s="598"/>
      <c r="N28" s="600"/>
      <c r="O28" s="598"/>
      <c r="P28" s="599"/>
      <c r="Q28" s="599"/>
      <c r="R28" s="599"/>
      <c r="S28" s="599"/>
      <c r="T28" s="563"/>
      <c r="U28" s="563"/>
      <c r="V28" s="563"/>
      <c r="W28" s="563"/>
      <c r="X28" s="563"/>
      <c r="Y28" s="563"/>
      <c r="Z28" s="563"/>
      <c r="AA28" s="563"/>
      <c r="AB28" s="563"/>
      <c r="AC28" s="563"/>
      <c r="AD28" s="563"/>
      <c r="AE28" s="563"/>
      <c r="AF28" s="563"/>
    </row>
    <row r="29" spans="1:32" ht="28.5" customHeight="1" thickBot="1" x14ac:dyDescent="0.35">
      <c r="B29" s="625"/>
      <c r="C29" s="626" t="s">
        <v>472</v>
      </c>
      <c r="D29" s="627"/>
      <c r="E29" s="628">
        <v>1</v>
      </c>
      <c r="F29" s="628">
        <v>2</v>
      </c>
      <c r="G29" s="628">
        <v>3</v>
      </c>
      <c r="H29" s="628">
        <v>4</v>
      </c>
      <c r="I29" s="628">
        <v>5</v>
      </c>
      <c r="J29" s="629" t="s">
        <v>389</v>
      </c>
      <c r="K29" s="132"/>
      <c r="N29" s="601"/>
    </row>
    <row r="30" spans="1:32" x14ac:dyDescent="0.3">
      <c r="B30" s="630" t="s">
        <v>473</v>
      </c>
      <c r="C30" s="631" t="s">
        <v>474</v>
      </c>
      <c r="D30" s="631" t="str">
        <f t="shared" ref="D30:D61" si="0">JenotkaMěny</f>
        <v>Kč</v>
      </c>
      <c r="E30" s="632">
        <f>SUM(E31:E32)</f>
        <v>0</v>
      </c>
      <c r="F30" s="632">
        <f t="shared" ref="F30:G30" si="1">SUM(F31:F32)</f>
        <v>0</v>
      </c>
      <c r="G30" s="632">
        <f t="shared" si="1"/>
        <v>0</v>
      </c>
      <c r="H30" s="632">
        <f>SUM(H31:H32)</f>
        <v>0</v>
      </c>
      <c r="I30" s="632">
        <f>SUM(I31:I32)</f>
        <v>0</v>
      </c>
      <c r="J30" s="632">
        <f>SUM(E30:I30)</f>
        <v>0</v>
      </c>
      <c r="K30" s="132"/>
      <c r="L30" s="602" t="s">
        <v>475</v>
      </c>
      <c r="N30" s="601"/>
    </row>
    <row r="31" spans="1:32" x14ac:dyDescent="0.3">
      <c r="B31" s="633" t="s">
        <v>306</v>
      </c>
      <c r="C31" s="634" t="s">
        <v>476</v>
      </c>
      <c r="D31" s="634" t="str">
        <f t="shared" si="0"/>
        <v>Kč</v>
      </c>
      <c r="E31" s="635">
        <f>IF('2. Vstupní data on-premise '!$D$173="ANO",'2. Vstupní data on-premise '!$L$167+'2. Vstupní data on-premise '!$L$168,IF('2. Vstupní data on-premise '!$D$173="NE",IF(DelkaProjektu&gt;=E$29,('2. Vstupní data on-premise '!$L$167+'2. Vstupní data on-premise '!$L$168)/DelkaProjektu,)))</f>
        <v>0</v>
      </c>
      <c r="F31" s="635">
        <f>IF('2. Vstupní data on-premise '!$D$173="ANO",0,IF('2. Vstupní data on-premise '!$D$173="NE",IF(DelkaProjektu&gt;=F$29,('2. Vstupní data on-premise '!$L$167+'2. Vstupní data on-premise '!$L$168)/DelkaProjektu,)))</f>
        <v>0</v>
      </c>
      <c r="G31" s="635">
        <f>IF('2. Vstupní data on-premise '!$D$173="ANO",0,IF('2. Vstupní data on-premise '!$D$173="NE",IF(DelkaProjektu&gt;=G29,('2. Vstupní data on-premise '!$L$167+'2. Vstupní data on-premise '!$L$168)/DelkaProjektu,)))</f>
        <v>0</v>
      </c>
      <c r="H31" s="635">
        <f>IF('2. Vstupní data on-premise '!$D$173="ANO",0,IF('2. Vstupní data on-premise '!$D$173="NE",IF(DelkaProjektu&gt;=H29,('2. Vstupní data on-premise '!$L$167+'2. Vstupní data on-premise '!$L$168)/DelkaProjektu,)))</f>
        <v>0</v>
      </c>
      <c r="I31" s="635">
        <f>IF('2. Vstupní data on-premise '!$D$173="ANO",0,IF('2. Vstupní data on-premise '!$D$173="NE",IF(DelkaProjektu&gt;=I29,('2. Vstupní data on-premise '!$L$167+'2. Vstupní data on-premise '!$L$168)/DelkaProjektu,)))</f>
        <v>0</v>
      </c>
      <c r="J31" s="636">
        <f>SUM(E31:I31)</f>
        <v>0</v>
      </c>
      <c r="K31" s="132"/>
      <c r="L31" s="602" t="s">
        <v>475</v>
      </c>
      <c r="N31" s="601" t="s">
        <v>477</v>
      </c>
      <c r="P31" s="596" t="s">
        <v>478</v>
      </c>
    </row>
    <row r="32" spans="1:32" x14ac:dyDescent="0.3">
      <c r="B32" s="637" t="s">
        <v>310</v>
      </c>
      <c r="C32" s="634" t="s">
        <v>479</v>
      </c>
      <c r="D32" s="634" t="str">
        <f t="shared" si="0"/>
        <v>Kč</v>
      </c>
      <c r="E32" s="635">
        <f>IF('2. Vstupní data on-premise '!$D$173="ANO",'2. Vstupní data on-premise '!$L$169+'2. Vstupní data on-premise '!$L$170,IF('2. Vstupní data on-premise '!$D$173="NE",IF(DelkaProjektu&gt;=E$29,('2. Vstupní data on-premise '!$L$169+'2. Vstupní data on-premise '!$L$170)/DelkaProjektu,)))</f>
        <v>0</v>
      </c>
      <c r="F32" s="635">
        <f>IF('2. Vstupní data on-premise '!$D$173="ANO",0,IF('2. Vstupní data on-premise '!$D$173="NE",IF(DelkaProjektu&gt;=F$29,('2. Vstupní data on-premise '!$L$169+'2. Vstupní data on-premise '!$L$170)/DelkaProjektu,)))</f>
        <v>0</v>
      </c>
      <c r="G32" s="635">
        <f>IF('2. Vstupní data on-premise '!$D$173="ANO",0,IF('2. Vstupní data on-premise '!$D$173="NE",IF(DelkaProjektu&gt;=G$29,('2. Vstupní data on-premise '!$L$169+'2. Vstupní data on-premise '!$L$170)/DelkaProjektu,)))</f>
        <v>0</v>
      </c>
      <c r="H32" s="635">
        <f>IF('2. Vstupní data on-premise '!$D$173="ANO",0,IF('2. Vstupní data on-premise '!$D$173="NE",IF(DelkaProjektu&gt;=H$29,('2. Vstupní data on-premise '!$L$169+'2. Vstupní data on-premise '!$L$170)/DelkaProjektu,)))</f>
        <v>0</v>
      </c>
      <c r="I32" s="635">
        <f>IF('2. Vstupní data on-premise '!$D$173="ANO",0,IF('2. Vstupní data on-premise '!$D$173="NE",IF(DelkaProjektu&gt;=I$29,('2. Vstupní data on-premise '!$L$169+'2. Vstupní data on-premise '!$L$170)/DelkaProjektu,)))</f>
        <v>0</v>
      </c>
      <c r="J32" s="636">
        <f>SUM(E32:I32)</f>
        <v>0</v>
      </c>
      <c r="K32" s="132"/>
      <c r="L32" s="603" t="s">
        <v>475</v>
      </c>
      <c r="N32" s="601" t="s">
        <v>477</v>
      </c>
    </row>
    <row r="33" spans="2:15" x14ac:dyDescent="0.3">
      <c r="B33" s="638" t="s">
        <v>480</v>
      </c>
      <c r="C33" s="639" t="s">
        <v>481</v>
      </c>
      <c r="D33" s="639" t="str">
        <f t="shared" si="0"/>
        <v>Kč</v>
      </c>
      <c r="E33" s="640">
        <f t="shared" ref="E33:J33" si="2">E34+E38+E42+E46+E47+E51+E54</f>
        <v>0</v>
      </c>
      <c r="F33" s="640">
        <f t="shared" si="2"/>
        <v>0</v>
      </c>
      <c r="G33" s="640">
        <f t="shared" si="2"/>
        <v>0</v>
      </c>
      <c r="H33" s="640">
        <f t="shared" si="2"/>
        <v>0</v>
      </c>
      <c r="I33" s="640">
        <f t="shared" si="2"/>
        <v>0</v>
      </c>
      <c r="J33" s="640">
        <f t="shared" si="2"/>
        <v>0</v>
      </c>
      <c r="K33" s="132"/>
      <c r="L33" s="603" t="s">
        <v>475</v>
      </c>
      <c r="N33" s="601"/>
    </row>
    <row r="34" spans="2:15" x14ac:dyDescent="0.3">
      <c r="B34" s="633" t="s">
        <v>482</v>
      </c>
      <c r="C34" s="634" t="s">
        <v>214</v>
      </c>
      <c r="D34" s="634" t="str">
        <f t="shared" si="0"/>
        <v>Kč</v>
      </c>
      <c r="E34" s="635">
        <f t="shared" ref="E34:J34" si="3">SUM(E35:E37)</f>
        <v>0</v>
      </c>
      <c r="F34" s="635">
        <f t="shared" si="3"/>
        <v>0</v>
      </c>
      <c r="G34" s="635">
        <f t="shared" si="3"/>
        <v>0</v>
      </c>
      <c r="H34" s="635">
        <f t="shared" si="3"/>
        <v>0</v>
      </c>
      <c r="I34" s="635">
        <f t="shared" si="3"/>
        <v>0</v>
      </c>
      <c r="J34" s="636">
        <f t="shared" si="3"/>
        <v>0</v>
      </c>
      <c r="K34" s="132"/>
      <c r="L34" s="603" t="s">
        <v>475</v>
      </c>
      <c r="N34" s="601" t="s">
        <v>483</v>
      </c>
    </row>
    <row r="35" spans="2:15" outlineLevel="1" x14ac:dyDescent="0.3">
      <c r="B35" s="641" t="s">
        <v>216</v>
      </c>
      <c r="C35" s="642" t="s">
        <v>215</v>
      </c>
      <c r="D35" s="642" t="str">
        <f t="shared" si="0"/>
        <v>Kč</v>
      </c>
      <c r="E35" s="643">
        <f>IF('2. Vstupní data on-premise '!$D107="ANO",'2. Vstupní data on-premise '!$L107,IF('2. Vstupní data on-premise '!$D107="NE",IF(DelkaProjektu&gt;=E$29,'2. Vstupní data on-premise '!$L107/DelkaProjektu,0)))</f>
        <v>0</v>
      </c>
      <c r="F35" s="643">
        <f>IF('2. Vstupní data on-premise '!$D107="ANO",0,IF('2. Vstupní data on-premise '!$D107="NE",IF(DelkaProjektu&gt;=F$29,'2. Vstupní data on-premise '!$L107/DelkaProjektu,0)))</f>
        <v>0</v>
      </c>
      <c r="G35" s="643">
        <f>IF('2. Vstupní data on-premise '!$D107="ANO",0,IF('2. Vstupní data on-premise '!$D107="NE",IF(DelkaProjektu&gt;=G$29,'2. Vstupní data on-premise '!$L107/DelkaProjektu,0)))</f>
        <v>0</v>
      </c>
      <c r="H35" s="643">
        <f>IF('2. Vstupní data on-premise '!$D107="ANO",0,IF('2. Vstupní data on-premise '!$D107="NE",IF(DelkaProjektu&gt;=H$29,'2. Vstupní data on-premise '!$L107/DelkaProjektu,0)))</f>
        <v>0</v>
      </c>
      <c r="I35" s="643">
        <f>IF('2. Vstupní data on-premise '!$D107="ANO",0,IF('2. Vstupní data on-premise '!$D107="NE",IF(DelkaProjektu&gt;=I$29,'2. Vstupní data on-premise '!$L107/DelkaProjektu,0)))</f>
        <v>0</v>
      </c>
      <c r="J35" s="644">
        <f>SUM(E35:I35)</f>
        <v>0</v>
      </c>
      <c r="K35" s="132"/>
      <c r="L35" s="603" t="s">
        <v>475</v>
      </c>
      <c r="N35" s="601" t="s">
        <v>483</v>
      </c>
    </row>
    <row r="36" spans="2:15" outlineLevel="1" x14ac:dyDescent="0.3">
      <c r="B36" s="641" t="s">
        <v>218</v>
      </c>
      <c r="C36" s="642" t="s">
        <v>484</v>
      </c>
      <c r="D36" s="642" t="str">
        <f t="shared" si="0"/>
        <v>Kč</v>
      </c>
      <c r="E36" s="643">
        <f>IF('2. Vstupní data on-premise '!$D108="ANO",'2. Vstupní data on-premise '!$L108+'2. Vstupní data on-premise '!$L110,IF('2. Vstupní data on-premise '!$D108="NE",IF(DelkaProjektu&gt;=E$29,('2. Vstupní data on-premise '!$L108+'2. Vstupní data on-premise '!$L110)/DelkaProjektu,0)))</f>
        <v>0</v>
      </c>
      <c r="F36" s="643">
        <f>IF('2. Vstupní data on-premise '!$D108="ANO",0,IF('2. Vstupní data on-premise '!$D108="NE",IF(DelkaProjektu&gt;=F$29,('2. Vstupní data on-premise '!$L108+'2. Vstupní data on-premise '!$L110)/DelkaProjektu,0)))</f>
        <v>0</v>
      </c>
      <c r="G36" s="643">
        <f>IF('2. Vstupní data on-premise '!$D108="ANO",0,IF('2. Vstupní data on-premise '!$D108="NE",IF(DelkaProjektu&gt;=G$29,('2. Vstupní data on-premise '!$L108+'2. Vstupní data on-premise '!$L110)/DelkaProjektu,0)))</f>
        <v>0</v>
      </c>
      <c r="H36" s="643">
        <f>IF('2. Vstupní data on-premise '!$D108="ANO",0,IF('2. Vstupní data on-premise '!$D108="NE",IF(DelkaProjektu&gt;=H$29,('2. Vstupní data on-premise '!$L108+'2. Vstupní data on-premise '!$L110)/DelkaProjektu,0)))</f>
        <v>0</v>
      </c>
      <c r="I36" s="643">
        <f>IF('2. Vstupní data on-premise '!$D108="ANO",0,IF('2. Vstupní data on-premise '!$D108="NE",IF(DelkaProjektu&gt;=I$29,('2. Vstupní data on-premise '!$L108+'2. Vstupní data on-premise '!$L110)/DelkaProjektu,0)))</f>
        <v>0</v>
      </c>
      <c r="J36" s="644">
        <f t="shared" ref="J36" si="4">SUM(E36:I36)</f>
        <v>0</v>
      </c>
      <c r="K36" s="132"/>
      <c r="L36" s="603" t="s">
        <v>475</v>
      </c>
      <c r="N36" s="601" t="s">
        <v>483</v>
      </c>
    </row>
    <row r="37" spans="2:15" outlineLevel="1" x14ac:dyDescent="0.3">
      <c r="B37" s="645" t="s">
        <v>220</v>
      </c>
      <c r="C37" s="642" t="s">
        <v>485</v>
      </c>
      <c r="D37" s="642" t="str">
        <f t="shared" si="0"/>
        <v>Kč</v>
      </c>
      <c r="E37" s="643">
        <f>IF('2. Vstupní data on-premise '!$D109="ANO",'2. Vstupní data on-premise '!$L109,IF('2. Vstupní data on-premise '!$D109="NE",IF(DelkaProjektu&gt;=E$29,'2. Vstupní data on-premise '!$L109/DelkaProjektu,0)))</f>
        <v>0</v>
      </c>
      <c r="F37" s="643">
        <f>IF('2. Vstupní data on-premise '!$D109="ANO",0,IF('2. Vstupní data on-premise '!$D109="NE",IF(DelkaProjektu&gt;=F$29,'2. Vstupní data on-premise '!$L109/DelkaProjektu,0)))</f>
        <v>0</v>
      </c>
      <c r="G37" s="643">
        <f>IF('2. Vstupní data on-premise '!$D109="ANO",0,IF('2. Vstupní data on-premise '!$D109="NE",IF(DelkaProjektu&gt;=G$29,'2. Vstupní data on-premise '!$L109/DelkaProjektu,0)))</f>
        <v>0</v>
      </c>
      <c r="H37" s="643">
        <f>IF('2. Vstupní data on-premise '!$D109="ANO",0,IF('2. Vstupní data on-premise '!$D109="NE",IF(DelkaProjektu&gt;=H$29,'2. Vstupní data on-premise '!$L109/DelkaProjektu,0)))</f>
        <v>0</v>
      </c>
      <c r="I37" s="643">
        <f>IF('2. Vstupní data on-premise '!$D109="ANO",0,IF('2. Vstupní data on-premise '!$D109="NE",IF(DelkaProjektu&gt;=I$29,'2. Vstupní data on-premise '!$L109/DelkaProjektu,0)))</f>
        <v>0</v>
      </c>
      <c r="J37" s="644">
        <f>SUM(E37:I37)</f>
        <v>0</v>
      </c>
      <c r="K37" s="132"/>
      <c r="L37" s="603" t="s">
        <v>475</v>
      </c>
      <c r="N37" s="601" t="s">
        <v>483</v>
      </c>
    </row>
    <row r="38" spans="2:15" x14ac:dyDescent="0.3">
      <c r="B38" s="633" t="s">
        <v>486</v>
      </c>
      <c r="C38" s="646" t="s">
        <v>487</v>
      </c>
      <c r="D38" s="646" t="str">
        <f t="shared" si="0"/>
        <v>Kč</v>
      </c>
      <c r="E38" s="635">
        <f>SUM(E39:E41)</f>
        <v>0</v>
      </c>
      <c r="F38" s="635">
        <f>SUM(F39:F41)</f>
        <v>0</v>
      </c>
      <c r="G38" s="635">
        <f>SUM(G39:G41)</f>
        <v>0</v>
      </c>
      <c r="H38" s="635">
        <f>SUM(H39:H41)</f>
        <v>0</v>
      </c>
      <c r="I38" s="635">
        <f>SUM(I39:I41)</f>
        <v>0</v>
      </c>
      <c r="J38" s="636">
        <f t="shared" ref="J38:J40" si="5">SUM(E38:I38)</f>
        <v>0</v>
      </c>
      <c r="K38" s="604"/>
      <c r="L38" s="603" t="s">
        <v>475</v>
      </c>
      <c r="N38" s="601" t="s">
        <v>483</v>
      </c>
    </row>
    <row r="39" spans="2:15" outlineLevel="1" x14ac:dyDescent="0.3">
      <c r="B39" s="641" t="s">
        <v>157</v>
      </c>
      <c r="C39" s="642" t="s">
        <v>488</v>
      </c>
      <c r="D39" s="642" t="str">
        <f t="shared" si="0"/>
        <v>Kč</v>
      </c>
      <c r="E39" s="647">
        <f>IF('2. Vstupní data on-premise '!$D58="ANO",'2. Vstupní data on-premise '!$L$58+'2. Vstupní data on-premise '!$L$68+'2. Vstupní data on-premise '!$L$74,IF('2. Vstupní data on-premise '!$D58="NE",IF(DelkaProjektu&gt;=E$29,'2. Vstupní data on-premise '!$L$58/DelkaProjektu+'2. Vstupní data on-premise '!$L$69*E$227+'2. Vstupní data on-premise '!$L$75*E$227)))</f>
        <v>0</v>
      </c>
      <c r="F39" s="647">
        <f>IF('2. Vstupní data on-premise '!$D58="ANO",0,IF('2. Vstupní data on-premise '!$D58="NE",IF(DelkaProjektu&gt;=F$29,'2. Vstupní data on-premise '!$L$58/DelkaProjektu+'2. Vstupní data on-premise '!$L$69*F$227+'2. Vstupní data on-premise '!$L$75*F$227,0)))</f>
        <v>0</v>
      </c>
      <c r="G39" s="647">
        <f>IF('2. Vstupní data on-premise '!$D58="ANO",0,IF('2. Vstupní data on-premise '!$D58="NE",IF(DelkaProjektu&gt;=G$29,'2. Vstupní data on-premise '!$L$58/DelkaProjektu+'2. Vstupní data on-premise '!$L$69*G$227+'2. Vstupní data on-premise '!$L$75*G$227,0)))</f>
        <v>0</v>
      </c>
      <c r="H39" s="647">
        <f>IF('2. Vstupní data on-premise '!$D58="ANO",0,IF('2. Vstupní data on-premise '!$D58="NE",IF(DelkaProjektu&gt;=H$29,'2. Vstupní data on-premise '!$L$58/DelkaProjektu+'2. Vstupní data on-premise '!$L$69*H$227+'2. Vstupní data on-premise '!$L$75*H$227,0)))</f>
        <v>0</v>
      </c>
      <c r="I39" s="647">
        <f>IF('2. Vstupní data on-premise '!$D58="ANO",0,IF('2. Vstupní data on-premise '!$D58="NE",IF(DelkaProjektu&gt;=I$29,'2. Vstupní data on-premise '!$L$58/DelkaProjektu+'2. Vstupní data on-premise '!$L$69*I$227+'2. Vstupní data on-premise '!$L$75*I$227,0)))</f>
        <v>0</v>
      </c>
      <c r="J39" s="644">
        <f t="shared" si="5"/>
        <v>0</v>
      </c>
      <c r="K39" s="132"/>
      <c r="L39" s="603" t="s">
        <v>475</v>
      </c>
      <c r="N39" s="605" t="s">
        <v>670</v>
      </c>
      <c r="O39" s="606"/>
    </row>
    <row r="40" spans="2:15" outlineLevel="1" x14ac:dyDescent="0.3">
      <c r="B40" s="648" t="s">
        <v>179</v>
      </c>
      <c r="C40" s="642" t="s">
        <v>489</v>
      </c>
      <c r="D40" s="642" t="str">
        <f t="shared" si="0"/>
        <v>Kč</v>
      </c>
      <c r="E40" s="647">
        <f>IF('2. Vstupní data on-premise '!$D78="ANO",'2. Vstupní data on-premise '!$L$78+'2. Vstupní data on-premise '!$L$79+'2. Vstupní data on-premise '!$L$80+'2. Vstupní data on-premise '!$L81,IF('2. Vstupní data on-premise '!$D78="NE",IF(DelkaProjektu&gt;=E$29,('2. Vstupní data on-premise '!$L78+'2. Vstupní data on-premise '!$L79+'2. Vstupní data on-premise '!$L80+'2. Vstupní data on-premise '!$L81)/DelkaProjektu)))</f>
        <v>0</v>
      </c>
      <c r="F40" s="647">
        <f>IF('2. Vstupní data on-premise '!$D78="ANO",0,IF('2. Vstupní data on-premise '!$D78="NE",IF(DelkaProjektu&gt;=F$29,('2. Vstupní data on-premise '!$L78+'2. Vstupní data on-premise '!$L79+'2. Vstupní data on-premise '!$L80+'2. Vstupní data on-premise '!$L81)/DelkaProjektu,0)))</f>
        <v>0</v>
      </c>
      <c r="G40" s="647">
        <f>IF('2. Vstupní data on-premise '!$D78="ANO",0,IF('2. Vstupní data on-premise '!$D78="NE",IF(DelkaProjektu&gt;=G$29,('2. Vstupní data on-premise '!$L78+'2. Vstupní data on-premise '!$L79+'2. Vstupní data on-premise '!$L80+'2. Vstupní data on-premise '!$L81)/DelkaProjektu,0)))</f>
        <v>0</v>
      </c>
      <c r="H40" s="647">
        <f>IF('2. Vstupní data on-premise '!$D78="ANO",0,IF('2. Vstupní data on-premise '!$D78="NE",IF(DelkaProjektu&gt;=H$29,('2. Vstupní data on-premise '!$L78+'2. Vstupní data on-premise '!$L79+'2. Vstupní data on-premise '!$L80+'2. Vstupní data on-premise '!$L81)/DelkaProjektu,0)))</f>
        <v>0</v>
      </c>
      <c r="I40" s="647">
        <f>IF('2. Vstupní data on-premise '!$D78="ANO",0,IF('2. Vstupní data on-premise '!$D78="NE",IF(DelkaProjektu&gt;=I$29,('2. Vstupní data on-premise '!$L78+'2. Vstupní data on-premise '!$L79+'2. Vstupní data on-premise '!$L80+'2. Vstupní data on-premise '!$L81)/DelkaProjektu,0)))</f>
        <v>0</v>
      </c>
      <c r="J40" s="644">
        <f t="shared" si="5"/>
        <v>0</v>
      </c>
      <c r="K40" s="132"/>
      <c r="L40" s="603" t="s">
        <v>475</v>
      </c>
      <c r="N40" s="601" t="s">
        <v>483</v>
      </c>
    </row>
    <row r="41" spans="2:15" outlineLevel="1" x14ac:dyDescent="0.3">
      <c r="B41" s="645" t="s">
        <v>207</v>
      </c>
      <c r="C41" s="642" t="s">
        <v>206</v>
      </c>
      <c r="D41" s="642" t="str">
        <f t="shared" si="0"/>
        <v>Kč</v>
      </c>
      <c r="E41" s="643">
        <f>IF('2. Vstupní data on-premise '!$D99="ANO",'2. Vstupní data on-premise '!$L99,IF('2. Vstupní data on-premise '!$D99="NE",IF(DelkaProjektu&gt;=E$29,'2. Vstupní data on-premise '!$L99/DelkaProjektu,0)))</f>
        <v>0</v>
      </c>
      <c r="F41" s="643">
        <f>IF('2. Vstupní data on-premise '!$D99="ANO",0,IF('2. Vstupní data on-premise '!$D99="NE",IF(DelkaProjektu&gt;=F$29,'2. Vstupní data on-premise '!$L99/DelkaProjektu,0)))</f>
        <v>0</v>
      </c>
      <c r="G41" s="643">
        <f>IF('2. Vstupní data on-premise '!$D99="ANO",0,IF('2. Vstupní data on-premise '!$D99="NE",IF(DelkaProjektu&gt;=G$29,'2. Vstupní data on-premise '!$L99/DelkaProjektu,0)))</f>
        <v>0</v>
      </c>
      <c r="H41" s="643">
        <f>IF('2. Vstupní data on-premise '!$D99="ANO",0,IF('2. Vstupní data on-premise '!$D99="NE",IF(DelkaProjektu&gt;=H$29,'2. Vstupní data on-premise '!$L99/DelkaProjektu,0)))</f>
        <v>0</v>
      </c>
      <c r="I41" s="643">
        <f>IF('2. Vstupní data on-premise '!$D99="ANO",0,IF('2. Vstupní data on-premise '!$D99="NE",IF(DelkaProjektu&gt;=I$29,'2. Vstupní data on-premise '!$L99/DelkaProjektu,0)))</f>
        <v>0</v>
      </c>
      <c r="J41" s="644">
        <f>SUM(E41:I41)</f>
        <v>0</v>
      </c>
      <c r="K41" s="132"/>
      <c r="L41" s="603" t="s">
        <v>475</v>
      </c>
      <c r="N41" s="601" t="s">
        <v>477</v>
      </c>
    </row>
    <row r="42" spans="2:15" ht="15.75" customHeight="1" x14ac:dyDescent="0.3">
      <c r="B42" s="633" t="s">
        <v>490</v>
      </c>
      <c r="C42" s="646" t="s">
        <v>491</v>
      </c>
      <c r="D42" s="646" t="str">
        <f t="shared" si="0"/>
        <v>Kč</v>
      </c>
      <c r="E42" s="635">
        <f>SUM(E43:E45)</f>
        <v>0</v>
      </c>
      <c r="F42" s="635">
        <f t="shared" ref="F42:I42" si="6">SUM(F43:F45)</f>
        <v>0</v>
      </c>
      <c r="G42" s="635">
        <f t="shared" si="6"/>
        <v>0</v>
      </c>
      <c r="H42" s="635">
        <f t="shared" si="6"/>
        <v>0</v>
      </c>
      <c r="I42" s="635">
        <f t="shared" si="6"/>
        <v>0</v>
      </c>
      <c r="J42" s="636">
        <f>SUM(J43:J45)</f>
        <v>0</v>
      </c>
      <c r="K42" s="132"/>
      <c r="L42" s="603" t="s">
        <v>475</v>
      </c>
      <c r="N42" s="601" t="s">
        <v>483</v>
      </c>
    </row>
    <row r="43" spans="2:15" ht="16.5" customHeight="1" outlineLevel="1" x14ac:dyDescent="0.3">
      <c r="B43" s="641" t="s">
        <v>110</v>
      </c>
      <c r="C43" s="642" t="s">
        <v>492</v>
      </c>
      <c r="D43" s="642" t="str">
        <f t="shared" si="0"/>
        <v>Kč</v>
      </c>
      <c r="E43" s="643">
        <f>IF('2. Vstupní data on-premise '!$D18="ANO",'2. Vstupní data on-premise '!$L18,IF('2. Vstupní data on-premise '!$D18="NE",IF(DelkaProjektu&gt;=E$29,('2. Vstupní data on-premise '!$L$18)/DelkaProjektu,0)))</f>
        <v>0</v>
      </c>
      <c r="F43" s="643">
        <f>IF('2. Vstupní data on-premise '!$D18="ANO",0,IF('2. Vstupní data on-premise '!$D18="NE",IF(DelkaProjektu&gt;=F$29,('2. Vstupní data on-premise '!$L$18)/DelkaProjektu,0)))</f>
        <v>0</v>
      </c>
      <c r="G43" s="643">
        <f>IF('2. Vstupní data on-premise '!$D18="ANO",0,IF('2. Vstupní data on-premise '!$D18="NE",IF(DelkaProjektu&gt;=G$29,('2. Vstupní data on-premise '!$L$18)/DelkaProjektu,0)))</f>
        <v>0</v>
      </c>
      <c r="H43" s="643">
        <f>IF('2. Vstupní data on-premise '!$D18="ANO",0,IF('2. Vstupní data on-premise '!$D18="NE",IF(DelkaProjektu&gt;=H$29,('2. Vstupní data on-premise '!$L$18)/DelkaProjektu,0)))</f>
        <v>0</v>
      </c>
      <c r="I43" s="643">
        <f>IF('2. Vstupní data on-premise '!$D18="ANO",0,IF('2. Vstupní data on-premise '!$D18="NE",IF(DelkaProjektu&gt;=I$29,('2. Vstupní data on-premise '!$L$18)/DelkaProjektu,0)))</f>
        <v>0</v>
      </c>
      <c r="J43" s="644">
        <f t="shared" ref="J43:J58" si="7">SUM(E43:I43)</f>
        <v>0</v>
      </c>
      <c r="K43" s="132"/>
      <c r="L43" s="603" t="s">
        <v>475</v>
      </c>
      <c r="N43" s="601" t="s">
        <v>483</v>
      </c>
    </row>
    <row r="44" spans="2:15" ht="15.75" customHeight="1" outlineLevel="1" x14ac:dyDescent="0.3">
      <c r="B44" s="641" t="s">
        <v>209</v>
      </c>
      <c r="C44" s="642" t="s">
        <v>208</v>
      </c>
      <c r="D44" s="642" t="str">
        <f t="shared" si="0"/>
        <v>Kč</v>
      </c>
      <c r="E44" s="643">
        <f>IF('2. Vstupní data on-premise '!$D100="ANO",'2. Vstupní data on-premise '!$L100,IF('2. Vstupní data on-premise '!$D100="NE",IF(DelkaProjektu&gt;=E$29,'2. Vstupní data on-premise '!$L100/DelkaProjektu,0)))</f>
        <v>0</v>
      </c>
      <c r="F44" s="643">
        <f>IF('2. Vstupní data on-premise '!$D100="ANO",0,IF('2. Vstupní data on-premise '!$D100="NE",IF(DelkaProjektu&gt;=F$29,'2. Vstupní data on-premise '!$L100/DelkaProjektu,0)))</f>
        <v>0</v>
      </c>
      <c r="G44" s="643">
        <f>IF('2. Vstupní data on-premise '!$D100="ANO",0,IF('2. Vstupní data on-premise '!$D100="NE",IF(DelkaProjektu&gt;=G$29,'2. Vstupní data on-premise '!$L100/DelkaProjektu,0)))</f>
        <v>0</v>
      </c>
      <c r="H44" s="643">
        <f>IF('2. Vstupní data on-premise '!$D100="ANO",0,IF('2. Vstupní data on-premise '!$D100="NE",IF(DelkaProjektu&gt;=H$29,'2. Vstupní data on-premise '!$L100/DelkaProjektu,0)))</f>
        <v>0</v>
      </c>
      <c r="I44" s="643">
        <f>IF('2. Vstupní data on-premise '!$D100="ANO",0,IF('2. Vstupní data on-premise '!$D100="NE",IF(DelkaProjektu&gt;=I$29,'2. Vstupní data on-premise '!$L100/DelkaProjektu,0)))</f>
        <v>0</v>
      </c>
      <c r="J44" s="644">
        <f t="shared" si="7"/>
        <v>0</v>
      </c>
      <c r="K44" s="132"/>
      <c r="L44" s="603" t="s">
        <v>475</v>
      </c>
      <c r="N44" s="607" t="s">
        <v>477</v>
      </c>
    </row>
    <row r="45" spans="2:15" ht="15.75" customHeight="1" outlineLevel="1" x14ac:dyDescent="0.3">
      <c r="B45" s="641" t="s">
        <v>126</v>
      </c>
      <c r="C45" s="642" t="s">
        <v>493</v>
      </c>
      <c r="D45" s="642" t="str">
        <f t="shared" si="0"/>
        <v>Kč</v>
      </c>
      <c r="E45" s="643">
        <f>IF('2. Vstupní data on-premise '!$D30="ANO",'2. Vstupní data on-premise '!$L30+'2. Vstupní data on-premise '!$L$32+'2. Vstupní data on-premise '!$L22,IF('2. Vstupní data on-premise '!$D30="NE",IF(DelkaProjektu&gt;=E$29,('2. Vstupní data on-premise '!$L$30+'2. Vstupní data on-premise '!$L$32+'2. Vstupní data on-premise '!$L22)/DelkaProjektu,0)))</f>
        <v>0</v>
      </c>
      <c r="F45" s="643">
        <f>IF('2. Vstupní data on-premise '!$D30="ANO",0,IF('2. Vstupní data on-premise '!$D30="NE",IF(DelkaProjektu&gt;=F$29,('2. Vstupní data on-premise '!$L$30+'2. Vstupní data on-premise '!$L$32+'2. Vstupní data on-premise '!$L22)/DelkaProjektu,0)))</f>
        <v>0</v>
      </c>
      <c r="G45" s="643">
        <f>IF('2. Vstupní data on-premise '!$D30="ANO",0,IF('2. Vstupní data on-premise '!$D30="NE",IF(DelkaProjektu&gt;=G$29,('2. Vstupní data on-premise '!$L$30+'2. Vstupní data on-premise '!$L$32+'2. Vstupní data on-premise '!$L22)/DelkaProjektu,0)))</f>
        <v>0</v>
      </c>
      <c r="H45" s="643">
        <f>IF('2. Vstupní data on-premise '!$D30="ANO",0,IF('2. Vstupní data on-premise '!$D30="NE",IF(DelkaProjektu&gt;=H$29,('2. Vstupní data on-premise '!$L$30+'2. Vstupní data on-premise '!$L$32+'2. Vstupní data on-premise '!$L22)/DelkaProjektu,0)))</f>
        <v>0</v>
      </c>
      <c r="I45" s="643">
        <f>IF('2. Vstupní data on-premise '!$D30="ANO",0,IF('2. Vstupní data on-premise '!$D30="NE",IF(DelkaProjektu&gt;=I$29,('2. Vstupní data on-premise '!$L$30+'2. Vstupní data on-premise '!$L$32+'2. Vstupní data on-premise '!$L22)/DelkaProjektu,0)))</f>
        <v>0</v>
      </c>
      <c r="J45" s="644">
        <f>SUM(E45:I45)</f>
        <v>0</v>
      </c>
      <c r="K45" s="132"/>
      <c r="L45" s="603" t="s">
        <v>475</v>
      </c>
      <c r="N45" s="607" t="s">
        <v>483</v>
      </c>
    </row>
    <row r="46" spans="2:15" ht="15.75" customHeight="1" x14ac:dyDescent="0.3">
      <c r="B46" s="633" t="s">
        <v>120</v>
      </c>
      <c r="C46" s="646" t="s">
        <v>494</v>
      </c>
      <c r="D46" s="646" t="str">
        <f t="shared" si="0"/>
        <v>Kč</v>
      </c>
      <c r="E46" s="635">
        <f>IF('2. Vstupní data on-premise '!$D26="ANO",'2. Vstupní data on-premise '!$L26,IF('2. Vstupní data on-premise '!$D26="NE",IF(DelkaProjektu&gt;=E$29,'2. Vstupní data on-premise '!$L26/DelkaProjektu,0)))</f>
        <v>0</v>
      </c>
      <c r="F46" s="635">
        <f>IF('2. Vstupní data on-premise '!$D26="ANO",0,IF('2. Vstupní data on-premise '!$D26="NE",IF(DelkaProjektu&gt;=F$29,'2. Vstupní data on-premise '!$L26/DelkaProjektu,0)))</f>
        <v>0</v>
      </c>
      <c r="G46" s="635">
        <f>IF('2. Vstupní data on-premise '!$D26="ANO",0,IF('2. Vstupní data on-premise '!$D26="NE",IF(DelkaProjektu&gt;=G$29,'2. Vstupní data on-premise '!$L26/DelkaProjektu,0)))</f>
        <v>0</v>
      </c>
      <c r="H46" s="635">
        <f>IF('2. Vstupní data on-premise '!$D26="ANO",0,IF('2. Vstupní data on-premise '!$D26="NE",IF(DelkaProjektu&gt;=H$29,'2. Vstupní data on-premise '!$L26/DelkaProjektu,0)))</f>
        <v>0</v>
      </c>
      <c r="I46" s="635">
        <f>IF('2. Vstupní data on-premise '!$D26="ANO",0,IF('2. Vstupní data on-premise '!$D26="NE",IF(DelkaProjektu&gt;=I$29,'2. Vstupní data on-premise '!$L26/DelkaProjektu,0)))</f>
        <v>0</v>
      </c>
      <c r="J46" s="636">
        <f t="shared" si="7"/>
        <v>0</v>
      </c>
      <c r="K46" s="132"/>
      <c r="L46" s="603" t="s">
        <v>475</v>
      </c>
      <c r="N46" s="607" t="s">
        <v>483</v>
      </c>
    </row>
    <row r="47" spans="2:15" ht="15.75" customHeight="1" x14ac:dyDescent="0.3">
      <c r="B47" s="633" t="s">
        <v>495</v>
      </c>
      <c r="C47" s="646" t="s">
        <v>496</v>
      </c>
      <c r="D47" s="646" t="str">
        <f t="shared" si="0"/>
        <v>Kč</v>
      </c>
      <c r="E47" s="635">
        <f>SUM(E48:E50)</f>
        <v>0</v>
      </c>
      <c r="F47" s="635">
        <f t="shared" ref="F47:I47" si="8">SUM(F48:F50)</f>
        <v>0</v>
      </c>
      <c r="G47" s="635">
        <f t="shared" si="8"/>
        <v>0</v>
      </c>
      <c r="H47" s="635">
        <f t="shared" si="8"/>
        <v>0</v>
      </c>
      <c r="I47" s="635">
        <f t="shared" si="8"/>
        <v>0</v>
      </c>
      <c r="J47" s="636">
        <f t="shared" si="7"/>
        <v>0</v>
      </c>
      <c r="K47" s="132"/>
      <c r="L47" s="603" t="s">
        <v>475</v>
      </c>
      <c r="N47" s="607" t="s">
        <v>477</v>
      </c>
    </row>
    <row r="48" spans="2:15" ht="15.75" customHeight="1" outlineLevel="1" x14ac:dyDescent="0.3">
      <c r="B48" s="641" t="s">
        <v>134</v>
      </c>
      <c r="C48" s="642" t="s">
        <v>497</v>
      </c>
      <c r="D48" s="642" t="str">
        <f t="shared" si="0"/>
        <v>Kč</v>
      </c>
      <c r="E48" s="643">
        <f>IF('2. Vstupní data on-premise '!$D38="ANO",'2. Vstupní data on-premise '!$L38,IF('2. Vstupní data on-premise '!$D38="NE",IF(DelkaProjektu&gt;=E$29,'2. Vstupní data on-premise '!$L38/DelkaProjektu,0)))</f>
        <v>0</v>
      </c>
      <c r="F48" s="643">
        <f>IF('2. Vstupní data on-premise '!$D38="ANO",0,IF('2. Vstupní data on-premise '!$D38="NE",IF(DelkaProjektu&gt;=F$29,'2. Vstupní data on-premise '!$L38/DelkaProjektu,0)))</f>
        <v>0</v>
      </c>
      <c r="G48" s="643">
        <f>IF('2. Vstupní data on-premise '!$D38="ANO",0,IF('2. Vstupní data on-premise '!$D38="NE",IF(DelkaProjektu&gt;=G$29,'2. Vstupní data on-premise '!$L38/DelkaProjektu,0)))</f>
        <v>0</v>
      </c>
      <c r="H48" s="643">
        <f>IF('2. Vstupní data on-premise '!$D38="ANO",0,IF('2. Vstupní data on-premise '!$D38="NE",IF(DelkaProjektu&gt;=H$29,'2. Vstupní data on-premise '!$L38/DelkaProjektu,0)))</f>
        <v>0</v>
      </c>
      <c r="I48" s="643">
        <f>IF('2. Vstupní data on-premise '!$D38="ANO",0,IF('2. Vstupní data on-premise '!$D38="NE",IF(DelkaProjektu&gt;=I$29,'2. Vstupní data on-premise '!$L38/DelkaProjektu,0)))</f>
        <v>0</v>
      </c>
      <c r="J48" s="644">
        <f t="shared" si="7"/>
        <v>0</v>
      </c>
      <c r="K48" s="132"/>
      <c r="L48" s="603" t="s">
        <v>475</v>
      </c>
      <c r="N48" s="607" t="s">
        <v>477</v>
      </c>
    </row>
    <row r="49" spans="2:14" ht="15.75" customHeight="1" outlineLevel="1" x14ac:dyDescent="0.3">
      <c r="B49" s="641" t="s">
        <v>139</v>
      </c>
      <c r="C49" s="642" t="s">
        <v>138</v>
      </c>
      <c r="D49" s="642" t="str">
        <f t="shared" si="0"/>
        <v>Kč</v>
      </c>
      <c r="E49" s="643">
        <f>IF('2. Vstupní data on-premise '!$D42="ANO",'2. Vstupní data on-premise '!$L42,IF('2. Vstupní data on-premise '!$D42="NE",IF(DelkaProjektu&gt;=E$29,'2. Vstupní data on-premise '!$L42/DelkaProjektu,0)))</f>
        <v>0</v>
      </c>
      <c r="F49" s="643">
        <f>IF('2. Vstupní data on-premise '!$D42="ANO",0,IF('2. Vstupní data on-premise '!$D42="NE",IF(DelkaProjektu&gt;=F$29,'2. Vstupní data on-premise '!$L42/DelkaProjektu,0)))</f>
        <v>0</v>
      </c>
      <c r="G49" s="643">
        <f>IF('2. Vstupní data on-premise '!$D42="ANO",0,IF('2. Vstupní data on-premise '!$D42="NE",IF(DelkaProjektu&gt;=G$29,'2. Vstupní data on-premise '!$L42/DelkaProjektu,0)))</f>
        <v>0</v>
      </c>
      <c r="H49" s="643">
        <f>IF('2. Vstupní data on-premise '!$D42="ANO",0,IF('2. Vstupní data on-premise '!$D42="NE",IF(DelkaProjektu&gt;=H$29,'2. Vstupní data on-premise '!$L42/DelkaProjektu,0)))</f>
        <v>0</v>
      </c>
      <c r="I49" s="643">
        <f>IF('2. Vstupní data on-premise '!$D42="ANO",0,IF('2. Vstupní data on-premise '!$D42="NE",IF(DelkaProjektu&gt;=I$29,'2. Vstupní data on-premise '!$L42/DelkaProjektu,0)))</f>
        <v>0</v>
      </c>
      <c r="J49" s="644">
        <f t="shared" si="7"/>
        <v>0</v>
      </c>
      <c r="K49" s="132"/>
      <c r="L49" s="603" t="s">
        <v>475</v>
      </c>
      <c r="N49" s="607" t="s">
        <v>477</v>
      </c>
    </row>
    <row r="50" spans="2:14" ht="15.75" customHeight="1" outlineLevel="1" x14ac:dyDescent="0.3">
      <c r="B50" s="641" t="s">
        <v>144</v>
      </c>
      <c r="C50" s="642" t="s">
        <v>140</v>
      </c>
      <c r="D50" s="642" t="str">
        <f t="shared" si="0"/>
        <v>Kč</v>
      </c>
      <c r="E50" s="643">
        <f>IF('2. Vstupní data on-premise '!$D44="ANO",'2. Vstupní data on-premise '!$L44,IF('2. Vstupní data on-premise '!$D44="NE",IF(DelkaProjektu&gt;=E$29,'2. Vstupní data on-premise '!$L44/DelkaProjektu,0)))</f>
        <v>0</v>
      </c>
      <c r="F50" s="643">
        <f>IF('2. Vstupní data on-premise '!$D44="ANO",0,IF('2. Vstupní data on-premise '!$D44="NE",IF(DelkaProjektu&gt;=F$29,'2. Vstupní data on-premise '!$L44/DelkaProjektu,0)))</f>
        <v>0</v>
      </c>
      <c r="G50" s="643">
        <f>IF('2. Vstupní data on-premise '!$D44="ANO",0,IF('2. Vstupní data on-premise '!$D44="NE",IF(DelkaProjektu&gt;=G$29,'2. Vstupní data on-premise '!$L44/DelkaProjektu,0)))</f>
        <v>0</v>
      </c>
      <c r="H50" s="643">
        <f>IF('2. Vstupní data on-premise '!$D44="ANO",0,IF('2. Vstupní data on-premise '!$D44="NE",IF(DelkaProjektu&gt;=H$29,'2. Vstupní data on-premise '!$L44/DelkaProjektu,0)))</f>
        <v>0</v>
      </c>
      <c r="I50" s="643">
        <f>IF('2. Vstupní data on-premise '!$D44="ANO",0,IF('2. Vstupní data on-premise '!$D44="NE",IF(DelkaProjektu&gt;=I$29,'2. Vstupní data on-premise '!$L44/DelkaProjektu,0)))</f>
        <v>0</v>
      </c>
      <c r="J50" s="644">
        <f t="shared" si="7"/>
        <v>0</v>
      </c>
      <c r="K50" s="132"/>
      <c r="L50" s="603" t="s">
        <v>475</v>
      </c>
      <c r="N50" s="607" t="s">
        <v>477</v>
      </c>
    </row>
    <row r="51" spans="2:14" ht="15.75" customHeight="1" x14ac:dyDescent="0.3">
      <c r="B51" s="633" t="s">
        <v>498</v>
      </c>
      <c r="C51" s="646" t="s">
        <v>145</v>
      </c>
      <c r="D51" s="646" t="str">
        <f t="shared" si="0"/>
        <v>Kč</v>
      </c>
      <c r="E51" s="635">
        <f>SUM(E52:E53)</f>
        <v>0</v>
      </c>
      <c r="F51" s="635">
        <f t="shared" ref="F51:I51" si="9">SUM(F52:F53)</f>
        <v>0</v>
      </c>
      <c r="G51" s="635">
        <f t="shared" si="9"/>
        <v>0</v>
      </c>
      <c r="H51" s="635">
        <f t="shared" si="9"/>
        <v>0</v>
      </c>
      <c r="I51" s="635">
        <f t="shared" si="9"/>
        <v>0</v>
      </c>
      <c r="J51" s="636">
        <f>SUM(E51:I51)</f>
        <v>0</v>
      </c>
      <c r="K51" s="132"/>
      <c r="L51" s="603" t="s">
        <v>475</v>
      </c>
      <c r="N51" s="607" t="s">
        <v>483</v>
      </c>
    </row>
    <row r="52" spans="2:14" ht="15.75" customHeight="1" outlineLevel="1" x14ac:dyDescent="0.3">
      <c r="B52" s="641" t="s">
        <v>147</v>
      </c>
      <c r="C52" s="649" t="s">
        <v>146</v>
      </c>
      <c r="D52" s="649" t="str">
        <f t="shared" si="0"/>
        <v>Kč</v>
      </c>
      <c r="E52" s="643">
        <f>IF('2. Vstupní data on-premise '!$D48="ANO",'2. Vstupní data on-premise '!$L48,IF('2. Vstupní data on-premise '!$D48="NE",IF(DelkaProjektu&gt;=E$29,'2. Vstupní data on-premise '!$L48/DelkaProjektu,0)))</f>
        <v>0</v>
      </c>
      <c r="F52" s="643">
        <f>IF('2. Vstupní data on-premise '!$D48="ANO",0,IF('2. Vstupní data on-premise '!$D48="NE",IF(DelkaProjektu&gt;=F$29,'2. Vstupní data on-premise '!$L48/DelkaProjektu,0)))</f>
        <v>0</v>
      </c>
      <c r="G52" s="643">
        <f>IF('2. Vstupní data on-premise '!$D48="ANO",0,IF('2. Vstupní data on-premise '!$D48="NE",IF(DelkaProjektu&gt;=G$29,'2. Vstupní data on-premise '!$L48/DelkaProjektu,0)))</f>
        <v>0</v>
      </c>
      <c r="H52" s="643">
        <f>IF('2. Vstupní data on-premise '!$D48="ANO",0,IF('2. Vstupní data on-premise '!$D48="NE",IF(DelkaProjektu&gt;=H$29,'2. Vstupní data on-premise '!$L48/DelkaProjektu,0)))</f>
        <v>0</v>
      </c>
      <c r="I52" s="643">
        <f>IF('2. Vstupní data on-premise '!$D48="ANO",0,IF('2. Vstupní data on-premise '!$D48="NE",IF(DelkaProjektu&gt;=I$29,'2. Vstupní data on-premise '!$L48/DelkaProjektu,0)))</f>
        <v>0</v>
      </c>
      <c r="J52" s="644">
        <f t="shared" si="7"/>
        <v>0</v>
      </c>
      <c r="K52" s="132"/>
      <c r="L52" s="603" t="s">
        <v>475</v>
      </c>
      <c r="N52" s="596" t="s">
        <v>483</v>
      </c>
    </row>
    <row r="53" spans="2:14" ht="15.75" customHeight="1" outlineLevel="1" x14ac:dyDescent="0.3">
      <c r="B53" s="641" t="s">
        <v>149</v>
      </c>
      <c r="C53" s="649" t="s">
        <v>148</v>
      </c>
      <c r="D53" s="649" t="str">
        <f t="shared" si="0"/>
        <v>Kč</v>
      </c>
      <c r="E53" s="643">
        <f>IF('2. Vstupní data on-premise '!$D49="ANO",'2. Vstupní data on-premise '!$L49,IF('2. Vstupní data on-premise '!$D49="NE",IF(DelkaProjektu&gt;=E$29,'2. Vstupní data on-premise '!$L49/DelkaProjektu,0)))</f>
        <v>0</v>
      </c>
      <c r="F53" s="643">
        <f>IF('2. Vstupní data on-premise '!$D49="ANO",0,IF('2. Vstupní data on-premise '!$D49="NE",IF(DelkaProjektu&gt;=F$29,'2. Vstupní data on-premise '!$L49/DelkaProjektu,0)))</f>
        <v>0</v>
      </c>
      <c r="G53" s="643">
        <f>IF('2. Vstupní data on-premise '!$D49="ANO",0,IF('2. Vstupní data on-premise '!$D49="NE",IF(DelkaProjektu&gt;=G$29,'2. Vstupní data on-premise '!$L49/DelkaProjektu,0)))</f>
        <v>0</v>
      </c>
      <c r="H53" s="643">
        <f>IF('2. Vstupní data on-premise '!$D49="ANO",0,IF('2. Vstupní data on-premise '!$D49="NE",IF(DelkaProjektu&gt;=H$29,'2. Vstupní data on-premise '!$L49/DelkaProjektu,0)))</f>
        <v>0</v>
      </c>
      <c r="I53" s="643">
        <f>IF('2. Vstupní data on-premise '!$D49="ANO",0,IF('2. Vstupní data on-premise '!$D49="NE",IF(DelkaProjektu&gt;=I$29,'2. Vstupní data on-premise '!$L49/DelkaProjektu,0)))</f>
        <v>0</v>
      </c>
      <c r="J53" s="644">
        <f t="shared" si="7"/>
        <v>0</v>
      </c>
      <c r="K53" s="132"/>
      <c r="L53" s="603" t="s">
        <v>475</v>
      </c>
      <c r="N53" s="596" t="s">
        <v>483</v>
      </c>
    </row>
    <row r="54" spans="2:14" ht="15.75" customHeight="1" x14ac:dyDescent="0.3">
      <c r="B54" s="650" t="s">
        <v>499</v>
      </c>
      <c r="C54" s="651" t="s">
        <v>500</v>
      </c>
      <c r="D54" s="651" t="str">
        <f t="shared" si="0"/>
        <v>Kč</v>
      </c>
      <c r="E54" s="652">
        <f>SUM(E55:E56)</f>
        <v>0</v>
      </c>
      <c r="F54" s="652">
        <f>SUM(F55:F56)</f>
        <v>0</v>
      </c>
      <c r="G54" s="652">
        <f>SUM(G55:G56)</f>
        <v>0</v>
      </c>
      <c r="H54" s="652">
        <f>SUM(H55:H56)</f>
        <v>0</v>
      </c>
      <c r="I54" s="652">
        <f>SUM(I55:I56)</f>
        <v>0</v>
      </c>
      <c r="J54" s="636">
        <f>SUM(E54:I54)</f>
        <v>0</v>
      </c>
      <c r="K54" s="132"/>
      <c r="L54" s="603" t="s">
        <v>475</v>
      </c>
      <c r="N54" s="596" t="s">
        <v>483</v>
      </c>
    </row>
    <row r="55" spans="2:14" ht="15.75" customHeight="1" outlineLevel="1" x14ac:dyDescent="0.3">
      <c r="B55" s="641" t="s">
        <v>501</v>
      </c>
      <c r="C55" s="649" t="s">
        <v>502</v>
      </c>
      <c r="D55" s="649" t="str">
        <f t="shared" si="0"/>
        <v>Kč</v>
      </c>
      <c r="E55" s="643">
        <f>IF('2. Vstupní data on-premise '!$D86="ANO",'2. Vstupní data on-premise '!$L86+'2. Vstupní data on-premise '!$L87+'2. Vstupní data on-premise '!$L89,IF('2. Vstupní data on-premise '!$D86="NE",IF(DelkaProjektu&gt;=E$29,('2. Vstupní data on-premise '!$L$87+'2. Vstupní data on-premise '!$L$89+'2. Vstupní data on-premise '!$L86)/DelkaProjektu,0)))</f>
        <v>0</v>
      </c>
      <c r="F55" s="643">
        <f>IF('2. Vstupní data on-premise '!$D86="ANO",0,IF('2. Vstupní data on-premise '!$D86="NE",IF(DelkaProjektu&gt;=F$29,('2. Vstupní data on-premise '!$L$86+'2. Vstupní data on-premise '!$L$89+'2. Vstupní data on-premise '!$L$87)/DelkaProjektu,0)))</f>
        <v>0</v>
      </c>
      <c r="G55" s="643">
        <f>IF('2. Vstupní data on-premise '!$D86="ANO",0,IF('2. Vstupní data on-premise '!$D86="NE",IF(DelkaProjektu&gt;=G$29,('2. Vstupní data on-premise '!$L$86+'2. Vstupní data on-premise '!$L$89+'2. Vstupní data on-premise '!$L$87)/DelkaProjektu,0)))</f>
        <v>0</v>
      </c>
      <c r="H55" s="643">
        <f>IF('2. Vstupní data on-premise '!$D86="ANO",0,IF('2. Vstupní data on-premise '!$D86="NE",IF(DelkaProjektu&gt;=H$29,('2. Vstupní data on-premise '!$L$86+'2. Vstupní data on-premise '!$L$89+'2. Vstupní data on-premise '!$L$87)/DelkaProjektu,0)))</f>
        <v>0</v>
      </c>
      <c r="I55" s="643">
        <f>IF('2. Vstupní data on-premise '!$D86="ANO",0,IF('2. Vstupní data on-premise '!$D86="NE",IF(DelkaProjektu&gt;=I$29,('2. Vstupní data on-premise '!$L$86+'2. Vstupní data on-premise '!$L$89+'2. Vstupní data on-premise '!$L$87)/DelkaProjektu,0)))</f>
        <v>0</v>
      </c>
      <c r="J55" s="644">
        <f>SUM(E55:I55)</f>
        <v>0</v>
      </c>
      <c r="K55" s="132"/>
      <c r="L55" s="603" t="s">
        <v>475</v>
      </c>
      <c r="N55" s="596" t="s">
        <v>483</v>
      </c>
    </row>
    <row r="56" spans="2:14" ht="15.75" customHeight="1" outlineLevel="1" x14ac:dyDescent="0.3">
      <c r="B56" s="641" t="s">
        <v>503</v>
      </c>
      <c r="C56" s="653" t="s">
        <v>504</v>
      </c>
      <c r="D56" s="653" t="str">
        <f t="shared" si="0"/>
        <v>Kč</v>
      </c>
      <c r="E56" s="643">
        <f>IF('2. Vstupní data on-premise '!$D86="ANO",'2. Vstupní data on-premise '!$L88+'2. Vstupní data on-premise '!$L90,IF('2. Vstupní data on-premise '!$D86="NE",IF(DelkaProjektu&gt;=E$29,('2. Vstupní data on-premise '!$L$88+'2. Vstupní data on-premise '!$L90)/DelkaProjektu,0)))</f>
        <v>0</v>
      </c>
      <c r="F56" s="643">
        <f>IF('2. Vstupní data on-premise '!$D86="ANO",0,IF('2. Vstupní data on-premise '!$D86="NE",IF(DelkaProjektu&gt;=F$29,('2. Vstupní data on-premise '!$L$88+'2. Vstupní data on-premise '!$L$90)/DelkaProjektu,0)))</f>
        <v>0</v>
      </c>
      <c r="G56" s="643">
        <f>IF('2. Vstupní data on-premise '!$D86="ANO",0,IF('2. Vstupní data on-premise '!$D86="NE",IF(DelkaProjektu&gt;=G$29,('2. Vstupní data on-premise '!$L$88+'2. Vstupní data on-premise '!$L$90)/DelkaProjektu,0)))</f>
        <v>0</v>
      </c>
      <c r="H56" s="643">
        <f>IF('2. Vstupní data on-premise '!$D86="ANO",0,IF('2. Vstupní data on-premise '!$D86="NE",IF(DelkaProjektu&gt;=H$29,('2. Vstupní data on-premise '!$L$88+'2. Vstupní data on-premise '!$L$90)/DelkaProjektu,0)))</f>
        <v>0</v>
      </c>
      <c r="I56" s="643">
        <f>IF('2. Vstupní data on-premise '!$D86="ANO",0,IF('2. Vstupní data on-premise '!$D86="NE",IF(DelkaProjektu&gt;=I$29,('2. Vstupní data on-premise '!$L$88+'2. Vstupní data on-premise '!$L$90)/DelkaProjektu,0)))</f>
        <v>0</v>
      </c>
      <c r="J56" s="644">
        <f>SUM(E56:I56)</f>
        <v>0</v>
      </c>
      <c r="K56" s="132"/>
      <c r="L56" s="603" t="s">
        <v>475</v>
      </c>
      <c r="N56" s="596" t="s">
        <v>483</v>
      </c>
    </row>
    <row r="57" spans="2:14" ht="15.75" customHeight="1" x14ac:dyDescent="0.3">
      <c r="B57" s="654" t="s">
        <v>505</v>
      </c>
      <c r="C57" s="655" t="s">
        <v>506</v>
      </c>
      <c r="D57" s="655" t="str">
        <f t="shared" si="0"/>
        <v>Kč</v>
      </c>
      <c r="E57" s="656">
        <f t="shared" ref="E57:J57" si="10">SUM(E58:E70)</f>
        <v>0</v>
      </c>
      <c r="F57" s="656">
        <f t="shared" si="10"/>
        <v>0</v>
      </c>
      <c r="G57" s="656">
        <f t="shared" si="10"/>
        <v>0</v>
      </c>
      <c r="H57" s="656">
        <f t="shared" si="10"/>
        <v>0</v>
      </c>
      <c r="I57" s="656">
        <f t="shared" si="10"/>
        <v>0</v>
      </c>
      <c r="J57" s="656">
        <f t="shared" si="10"/>
        <v>0</v>
      </c>
      <c r="K57" s="132"/>
      <c r="L57" s="603" t="s">
        <v>475</v>
      </c>
    </row>
    <row r="58" spans="2:14" ht="15.75" customHeight="1" x14ac:dyDescent="0.3">
      <c r="B58" s="633" t="s">
        <v>318</v>
      </c>
      <c r="C58" s="646" t="s">
        <v>507</v>
      </c>
      <c r="D58" s="646" t="str">
        <f t="shared" si="0"/>
        <v>Kč</v>
      </c>
      <c r="E58" s="635">
        <f>IF('2. Vstupní data on-premise '!$D208="ANO",'2. Vstupní data on-premise '!$L176+'2. Vstupní data on-premise '!$L177,IF('2. Vstupní data on-premise '!$D208="NE",IF(DelkaProjektu&gt;=E$29,('2. Vstupní data on-premise '!$L176+'2. Vstupní data on-premise '!$L177)/DelkaProjektu,0)))</f>
        <v>0</v>
      </c>
      <c r="F58" s="635">
        <f>IF('2. Vstupní data on-premise '!$D208="ANO",0,IF('2. Vstupní data on-premise '!$D208="NE",IF(DelkaProjektu&gt;=F$29,('2. Vstupní data on-premise '!$L176+'2. Vstupní data on-premise '!$L177)/DelkaProjektu,0)))</f>
        <v>0</v>
      </c>
      <c r="G58" s="635">
        <f>IF('2. Vstupní data on-premise '!$D208="ANO",0,IF('2. Vstupní data on-premise '!$D208="NE",IF(DelkaProjektu&gt;=G$29,('2. Vstupní data on-premise '!$L176+'2. Vstupní data on-premise '!$L177)/DelkaProjektu,0)))</f>
        <v>0</v>
      </c>
      <c r="H58" s="635">
        <f>IF('2. Vstupní data on-premise '!$D208="ANO",0,IF('2. Vstupní data on-premise '!$D208="NE",IF(DelkaProjektu&gt;=H$29,('2. Vstupní data on-premise '!$L176+'2. Vstupní data on-premise '!$L177)/DelkaProjektu,0)))</f>
        <v>0</v>
      </c>
      <c r="I58" s="635">
        <f>IF('2. Vstupní data on-premise '!$D208="ANO",0,IF('2. Vstupní data on-premise '!$D208="NE",IF(DelkaProjektu&gt;=I$29,('2. Vstupní data on-premise '!$L176+'2. Vstupní data on-premise '!$L177)/DelkaProjektu,0)))</f>
        <v>0</v>
      </c>
      <c r="J58" s="657">
        <f t="shared" si="7"/>
        <v>0</v>
      </c>
      <c r="K58" s="132"/>
      <c r="L58" s="603" t="s">
        <v>475</v>
      </c>
      <c r="N58" s="596" t="s">
        <v>477</v>
      </c>
    </row>
    <row r="59" spans="2:14" ht="15.75" customHeight="1" x14ac:dyDescent="0.3">
      <c r="B59" s="633" t="s">
        <v>323</v>
      </c>
      <c r="C59" s="646" t="s">
        <v>508</v>
      </c>
      <c r="D59" s="646" t="str">
        <f t="shared" si="0"/>
        <v>Kč</v>
      </c>
      <c r="E59" s="635">
        <f>IF('2. Vstupní data on-premise '!$D208="ANO",'2. Vstupní data on-premise '!$L178+'2. Vstupní data on-premise '!$L179,IF('2. Vstupní data on-premise '!$D208="NE",IF(DelkaProjektu&gt;=E$29,('2. Vstupní data on-premise '!$L178+'2. Vstupní data on-premise '!$L179)/DelkaProjektu,0)))</f>
        <v>0</v>
      </c>
      <c r="F59" s="635">
        <f>IF('2. Vstupní data on-premise '!$D208="ANO",0,IF('2. Vstupní data on-premise '!$D208="NE",IF(DelkaProjektu&gt;=F$29,('2. Vstupní data on-premise '!$L178+'2. Vstupní data on-premise '!$L179)/DelkaProjektu,0)))</f>
        <v>0</v>
      </c>
      <c r="G59" s="635">
        <f>IF('2. Vstupní data on-premise '!$D208="ANO",0,IF('2. Vstupní data on-premise '!$D208="NE",IF(DelkaProjektu&gt;=G$29,('2. Vstupní data on-premise '!$L178+'2. Vstupní data on-premise '!$L179)/DelkaProjektu,0)))</f>
        <v>0</v>
      </c>
      <c r="H59" s="635">
        <f>IF('2. Vstupní data on-premise '!$D208="ANO",0,IF('2. Vstupní data on-premise '!$D208="NE",IF(DelkaProjektu&gt;=H$29,('2. Vstupní data on-premise '!$L178+'2. Vstupní data on-premise '!$L179)/DelkaProjektu,0)))</f>
        <v>0</v>
      </c>
      <c r="I59" s="635">
        <f>IF('2. Vstupní data on-premise '!$D208="ANO",0,IF('2. Vstupní data on-premise '!$D208="NE",IF(DelkaProjektu&gt;=I$29,('2. Vstupní data on-premise '!$L178+'2. Vstupní data on-premise '!$L179)/DelkaProjektu,0)))</f>
        <v>0</v>
      </c>
      <c r="J59" s="657">
        <f>SUM(E59:I59)</f>
        <v>0</v>
      </c>
      <c r="K59" s="132"/>
      <c r="L59" s="603" t="s">
        <v>475</v>
      </c>
      <c r="N59" s="596" t="s">
        <v>477</v>
      </c>
    </row>
    <row r="60" spans="2:14" ht="15.6" customHeight="1" x14ac:dyDescent="0.3">
      <c r="B60" s="633" t="s">
        <v>320</v>
      </c>
      <c r="C60" s="658" t="s">
        <v>509</v>
      </c>
      <c r="D60" s="658" t="str">
        <f t="shared" si="0"/>
        <v>Kč</v>
      </c>
      <c r="E60" s="635">
        <f>IF('2. Vstupní data on-premise '!$D$208="ANO",'2. Vstupní data on-premise '!$L180+'2. Vstupní data on-premise '!$L181+'2. Vstupní data on-premise '!$L182+'2. Vstupní data on-premise '!$L183,IF('2. Vstupní data on-premise '!$D$208="NE",IF(DelkaProjektu&gt;=E$29,('2. Vstupní data on-premise '!$L180+'2. Vstupní data on-premise '!$L181+'2. Vstupní data on-premise '!$L182+'2. Vstupní data on-premise '!$L183)/DelkaProjektu,0)))</f>
        <v>0</v>
      </c>
      <c r="F60" s="635">
        <f>IF('2. Vstupní data on-premise '!$D$208="ANO",0,IF('2. Vstupní data on-premise '!$D$208="NE",IF(DelkaProjektu&gt;=F$29,('2. Vstupní data on-premise '!$L180+'2. Vstupní data on-premise '!$L181+'2. Vstupní data on-premise '!$L182+'2. Vstupní data on-premise '!$L183)/DelkaProjektu,0)))</f>
        <v>0</v>
      </c>
      <c r="G60" s="635">
        <f>IF('2. Vstupní data on-premise '!$D$208="ANO",0,IF('2. Vstupní data on-premise '!$D$208="NE",IF(DelkaProjektu&gt;=G$29,('2. Vstupní data on-premise '!$L180+'2. Vstupní data on-premise '!$L181+'2. Vstupní data on-premise '!$L182+'2. Vstupní data on-premise '!$L183)/DelkaProjektu,0)))</f>
        <v>0</v>
      </c>
      <c r="H60" s="635">
        <f>IF('2. Vstupní data on-premise '!$D$208="ANO",0,IF('2. Vstupní data on-premise '!$D$208="NE",IF(DelkaProjektu&gt;=H$29,('2. Vstupní data on-premise '!$L180+'2. Vstupní data on-premise '!$L181+'2. Vstupní data on-premise '!$L182+'2. Vstupní data on-premise '!$L183)/DelkaProjektu,0)))</f>
        <v>0</v>
      </c>
      <c r="I60" s="635">
        <f>IF('2. Vstupní data on-premise '!$D$208="ANO",0,IF('2. Vstupní data on-premise '!$D$208="NE",IF(DelkaProjektu&gt;=I$29,('2. Vstupní data on-premise '!$L180+'2. Vstupní data on-premise '!$L181+'2. Vstupní data on-premise '!$L182+'2. Vstupní data on-premise '!$L183)/DelkaProjektu,0)))</f>
        <v>0</v>
      </c>
      <c r="J60" s="657">
        <f t="shared" ref="J60:J68" si="11">SUM(E60:I60)</f>
        <v>0</v>
      </c>
      <c r="K60" s="132"/>
      <c r="L60" s="603" t="s">
        <v>475</v>
      </c>
      <c r="N60" s="596" t="s">
        <v>477</v>
      </c>
    </row>
    <row r="61" spans="2:14" ht="16.2" customHeight="1" x14ac:dyDescent="0.3">
      <c r="B61" s="633" t="s">
        <v>510</v>
      </c>
      <c r="C61" s="658" t="s">
        <v>511</v>
      </c>
      <c r="D61" s="658" t="str">
        <f t="shared" si="0"/>
        <v>Kč</v>
      </c>
      <c r="E61" s="635">
        <f>IF('2. Vstupní data on-premise '!$D$208="ANO",'2. Vstupní data on-premise '!$L184+'2. Vstupní data on-premise '!$L185+'2. Vstupní data on-premise '!$L186+'2. Vstupní data on-premise '!$L187,IF('2. Vstupní data on-premise '!$D$208="NE",IF(DelkaProjektu&gt;=E$29,('2. Vstupní data on-premise '!$L184+'2. Vstupní data on-premise '!$L185+'2. Vstupní data on-premise '!$L186+'2. Vstupní data on-premise '!$L187)/DelkaProjektu,0)))</f>
        <v>0</v>
      </c>
      <c r="F61" s="635">
        <f>IF('2. Vstupní data on-premise '!$D$208="ANO",0,IF('2. Vstupní data on-premise '!$D$208="NE",IF(DelkaProjektu&gt;=F$29,('2. Vstupní data on-premise '!$L184+'2. Vstupní data on-premise '!$L185+'2. Vstupní data on-premise '!$L186+'2. Vstupní data on-premise '!$L187)/DelkaProjektu,0)))</f>
        <v>0</v>
      </c>
      <c r="G61" s="635">
        <f>IF('2. Vstupní data on-premise '!$D$208="ANO",0,IF('2. Vstupní data on-premise '!$D$208="NE",IF(DelkaProjektu&gt;=G$29,('2. Vstupní data on-premise '!$L184+'2. Vstupní data on-premise '!$L185+'2. Vstupní data on-premise '!$L186+'2. Vstupní data on-premise '!$L187)/DelkaProjektu,0)))</f>
        <v>0</v>
      </c>
      <c r="H61" s="635">
        <f>IF('2. Vstupní data on-premise '!$D$208="ANO",0,IF('2. Vstupní data on-premise '!$D$208="NE",IF(DelkaProjektu&gt;=H$29,('2. Vstupní data on-premise '!$L184+'2. Vstupní data on-premise '!$L185+'2. Vstupní data on-premise '!$L186+'2. Vstupní data on-premise '!$L187)/DelkaProjektu,0)))</f>
        <v>0</v>
      </c>
      <c r="I61" s="635">
        <f>IF('2. Vstupní data on-premise '!$D$208="ANO",0,IF('2. Vstupní data on-premise '!$D$208="NE",IF(DelkaProjektu&gt;=I$29,('2. Vstupní data on-premise '!$L184+'2. Vstupní data on-premise '!$L185+'2. Vstupní data on-premise '!$L186+'2. Vstupní data on-premise '!$L187)/DelkaProjektu,0)))</f>
        <v>0</v>
      </c>
      <c r="J61" s="657">
        <f t="shared" si="11"/>
        <v>0</v>
      </c>
      <c r="K61" s="132"/>
      <c r="L61" s="603" t="s">
        <v>475</v>
      </c>
      <c r="N61" s="596" t="s">
        <v>477</v>
      </c>
    </row>
    <row r="62" spans="2:14" ht="17.399999999999999" customHeight="1" x14ac:dyDescent="0.3">
      <c r="B62" s="633" t="s">
        <v>328</v>
      </c>
      <c r="C62" s="658" t="s">
        <v>327</v>
      </c>
      <c r="D62" s="658" t="str">
        <f t="shared" ref="D62:D93" si="12">JenotkaMěny</f>
        <v>Kč</v>
      </c>
      <c r="E62" s="635">
        <f>IF('2. Vstupní data on-premise '!$D$208="ANO",'2. Vstupní data on-premise '!$L188+'2. Vstupní data on-premise '!$L189,IF('2. Vstupní data on-premise '!$D$208="NE",IF(DelkaProjektu&gt;=E$29,('2. Vstupní data on-premise '!$L188+'2. Vstupní data on-premise '!$L189)/DelkaProjektu,0)))</f>
        <v>0</v>
      </c>
      <c r="F62" s="635">
        <f>IF('2. Vstupní data on-premise '!$D$208="ANO",0,IF('2. Vstupní data on-premise '!$D$208="NE",IF(DelkaProjektu&gt;=F$29,('2. Vstupní data on-premise '!$L188+'2. Vstupní data on-premise '!$L189)/DelkaProjektu,0)))</f>
        <v>0</v>
      </c>
      <c r="G62" s="635">
        <f>IF('2. Vstupní data on-premise '!$D$208="ANO",0,IF('2. Vstupní data on-premise '!$D$208="NE",IF(DelkaProjektu&gt;=G$29,('2. Vstupní data on-premise '!$L188+'2. Vstupní data on-premise '!$L189)/DelkaProjektu,0)))</f>
        <v>0</v>
      </c>
      <c r="H62" s="635">
        <f>IF('2. Vstupní data on-premise '!$D$208="ANO",0,IF('2. Vstupní data on-premise '!$D$208="NE",IF(DelkaProjektu&gt;=H$29,('2. Vstupní data on-premise '!$L188+'2. Vstupní data on-premise '!$L189)/DelkaProjektu,0)))</f>
        <v>0</v>
      </c>
      <c r="I62" s="635">
        <f>IF('2. Vstupní data on-premise '!$D$208="ANO",0,IF('2. Vstupní data on-premise '!$D$208="NE",IF(DelkaProjektu&gt;=I$29,('2. Vstupní data on-premise '!$L188+'2. Vstupní data on-premise '!$L189)/DelkaProjektu,0)))</f>
        <v>0</v>
      </c>
      <c r="J62" s="657">
        <f t="shared" si="11"/>
        <v>0</v>
      </c>
      <c r="K62" s="132"/>
      <c r="L62" s="603" t="s">
        <v>475</v>
      </c>
      <c r="N62" s="596" t="s">
        <v>477</v>
      </c>
    </row>
    <row r="63" spans="2:14" ht="15.75" customHeight="1" x14ac:dyDescent="0.3">
      <c r="B63" s="633" t="s">
        <v>330</v>
      </c>
      <c r="C63" s="646" t="s">
        <v>512</v>
      </c>
      <c r="D63" s="646" t="str">
        <f t="shared" si="12"/>
        <v>Kč</v>
      </c>
      <c r="E63" s="635">
        <f>IF('2. Vstupní data on-premise '!$D$208="ANO",'2. Vstupní data on-premise '!$L190+'2. Vstupní data on-premise '!$L191,IF('2. Vstupní data on-premise '!$D$208="NE",IF(DelkaProjektu&gt;=E$29,('2. Vstupní data on-premise '!$L190+'2. Vstupní data on-premise '!$L191)/DelkaProjektu,0)))</f>
        <v>0</v>
      </c>
      <c r="F63" s="635">
        <f>IF('2. Vstupní data on-premise '!$D$208="ANO",0,IF('2. Vstupní data on-premise '!$D$208="NE",IF(DelkaProjektu&gt;=F$29,('2. Vstupní data on-premise '!$L190+'2. Vstupní data on-premise '!$L191)/DelkaProjektu,0)))</f>
        <v>0</v>
      </c>
      <c r="G63" s="635">
        <f>IF('2. Vstupní data on-premise '!$D$208="ANO",0,IF('2. Vstupní data on-premise '!$D$208="NE",IF(DelkaProjektu&gt;=G$29,('2. Vstupní data on-premise '!$L190+'2. Vstupní data on-premise '!$L191)/DelkaProjektu,0)))</f>
        <v>0</v>
      </c>
      <c r="H63" s="635">
        <f>IF('2. Vstupní data on-premise '!$D$208="ANO",0,IF('2. Vstupní data on-premise '!$D$208="NE",IF(DelkaProjektu&gt;=H$29,('2. Vstupní data on-premise '!$L190+'2. Vstupní data on-premise '!$L191)/DelkaProjektu,0)))</f>
        <v>0</v>
      </c>
      <c r="I63" s="635">
        <f>IF('2. Vstupní data on-premise '!$D$208="ANO",0,IF('2. Vstupní data on-premise '!$D$208="NE",IF(DelkaProjektu&gt;=I$29,('2. Vstupní data on-premise '!$L190+'2. Vstupní data on-premise '!$L191)/DelkaProjektu,0)))</f>
        <v>0</v>
      </c>
      <c r="J63" s="657">
        <f t="shared" si="11"/>
        <v>0</v>
      </c>
      <c r="K63" s="132"/>
      <c r="L63" s="603" t="s">
        <v>475</v>
      </c>
      <c r="N63" s="596" t="s">
        <v>477</v>
      </c>
    </row>
    <row r="64" spans="2:14" ht="15" customHeight="1" x14ac:dyDescent="0.3">
      <c r="B64" s="633" t="s">
        <v>332</v>
      </c>
      <c r="C64" s="646" t="s">
        <v>513</v>
      </c>
      <c r="D64" s="646" t="str">
        <f t="shared" si="12"/>
        <v>Kč</v>
      </c>
      <c r="E64" s="635">
        <f>IF('2. Vstupní data on-premise '!$D$208="ANO",'2. Vstupní data on-premise '!$L192+'2. Vstupní data on-premise '!$L193,IF('2. Vstupní data on-premise '!$D$208="NE",IF(DelkaProjektu&gt;=E$29,('2. Vstupní data on-premise '!$L192+'2. Vstupní data on-premise '!$L193)/DelkaProjektu,0)))</f>
        <v>0</v>
      </c>
      <c r="F64" s="635">
        <f>IF('2. Vstupní data on-premise '!$D$208="ANO",0,IF('2. Vstupní data on-premise '!$D$208="NE",IF(DelkaProjektu&gt;=F$29,('2. Vstupní data on-premise '!$L192+'2. Vstupní data on-premise '!$L193)/DelkaProjektu,0)))</f>
        <v>0</v>
      </c>
      <c r="G64" s="635">
        <f>IF('2. Vstupní data on-premise '!$D$208="ANO",0,IF('2. Vstupní data on-premise '!$D$208="NE",IF(DelkaProjektu&gt;=G$29,('2. Vstupní data on-premise '!$L192+'2. Vstupní data on-premise '!$L193)/DelkaProjektu,0)))</f>
        <v>0</v>
      </c>
      <c r="H64" s="635">
        <f>IF('2. Vstupní data on-premise '!$D$208="ANO",0,IF('2. Vstupní data on-premise '!$D$208="NE",IF(DelkaProjektu&gt;=H$29,('2. Vstupní data on-premise '!$L192+'2. Vstupní data on-premise '!$L193)/DelkaProjektu,0)))</f>
        <v>0</v>
      </c>
      <c r="I64" s="635">
        <f>IF('2. Vstupní data on-premise '!$D$208="ANO",0,IF('2. Vstupní data on-premise '!$D$208="NE",IF(DelkaProjektu&gt;=I$29,('2. Vstupní data on-premise '!$L192+'2. Vstupní data on-premise '!$L193)/DelkaProjektu,0)))</f>
        <v>0</v>
      </c>
      <c r="J64" s="657">
        <f t="shared" si="11"/>
        <v>0</v>
      </c>
      <c r="K64" s="132"/>
      <c r="L64" s="603" t="s">
        <v>475</v>
      </c>
      <c r="N64" s="596" t="s">
        <v>477</v>
      </c>
    </row>
    <row r="65" spans="2:14" ht="15" customHeight="1" x14ac:dyDescent="0.3">
      <c r="B65" s="633" t="s">
        <v>334</v>
      </c>
      <c r="C65" s="646" t="s">
        <v>333</v>
      </c>
      <c r="D65" s="646" t="str">
        <f t="shared" si="12"/>
        <v>Kč</v>
      </c>
      <c r="E65" s="635">
        <f>IF('2. Vstupní data on-premise '!$D$208="ANO",'2. Vstupní data on-premise '!$L194+'2. Vstupní data on-premise '!$L195,IF('2. Vstupní data on-premise '!$D$208="NE",IF(DelkaProjektu&gt;=E$29,('2. Vstupní data on-premise '!$L194+'2. Vstupní data on-premise '!$L195)/DelkaProjektu,0)))</f>
        <v>0</v>
      </c>
      <c r="F65" s="635">
        <f>IF('2. Vstupní data on-premise '!$D$208="ANO",0,IF('2. Vstupní data on-premise '!$D$208="NE",IF(DelkaProjektu&gt;=F$29,('2. Vstupní data on-premise '!$L194+'2. Vstupní data on-premise '!$L195)/DelkaProjektu,0)))</f>
        <v>0</v>
      </c>
      <c r="G65" s="635">
        <f>IF('2. Vstupní data on-premise '!$D$208="ANO",0,IF('2. Vstupní data on-premise '!$D$208="NE",IF(DelkaProjektu&gt;=G$29,('2. Vstupní data on-premise '!$L194+'2. Vstupní data on-premise '!$L195)/DelkaProjektu,0)))</f>
        <v>0</v>
      </c>
      <c r="H65" s="635">
        <f>IF('2. Vstupní data on-premise '!$D$208="ANO",0,IF('2. Vstupní data on-premise '!$D$208="NE",IF(DelkaProjektu&gt;=H$29,('2. Vstupní data on-premise '!$L194+'2. Vstupní data on-premise '!$L195)/DelkaProjektu,0)))</f>
        <v>0</v>
      </c>
      <c r="I65" s="635">
        <f>IF('2. Vstupní data on-premise '!$D$208="ANO",0,IF('2. Vstupní data on-premise '!$D$208="NE",IF(DelkaProjektu&gt;=I$29,('2. Vstupní data on-premise '!$L194+'2. Vstupní data on-premise '!$L195)/DelkaProjektu,0)))</f>
        <v>0</v>
      </c>
      <c r="J65" s="657">
        <f t="shared" si="11"/>
        <v>0</v>
      </c>
      <c r="K65" s="132"/>
      <c r="L65" s="603" t="s">
        <v>475</v>
      </c>
      <c r="N65" s="596" t="s">
        <v>477</v>
      </c>
    </row>
    <row r="66" spans="2:14" ht="15" customHeight="1" x14ac:dyDescent="0.3">
      <c r="B66" s="633" t="s">
        <v>336</v>
      </c>
      <c r="C66" s="646" t="s">
        <v>335</v>
      </c>
      <c r="D66" s="646" t="str">
        <f t="shared" si="12"/>
        <v>Kč</v>
      </c>
      <c r="E66" s="635">
        <f>IF('2. Vstupní data on-premise '!$D$208="ANO",'2. Vstupní data on-premise '!$L196+'2. Vstupní data on-premise '!$L197,IF('2. Vstupní data on-premise '!$D$208="NE",IF(DelkaProjektu&gt;=E$29,('2. Vstupní data on-premise '!$L196+'2. Vstupní data on-premise '!$L197)/DelkaProjektu,0)))</f>
        <v>0</v>
      </c>
      <c r="F66" s="635">
        <f>IF('2. Vstupní data on-premise '!$D$208="ANO",0,IF('2. Vstupní data on-premise '!$D$208="NE",IF(DelkaProjektu&gt;=F$29,('2. Vstupní data on-premise '!$L196+'2. Vstupní data on-premise '!$L197)/DelkaProjektu,0)))</f>
        <v>0</v>
      </c>
      <c r="G66" s="635">
        <f>IF('2. Vstupní data on-premise '!$D$208="ANO",0,IF('2. Vstupní data on-premise '!$D$208="NE",IF(DelkaProjektu&gt;=G$29,('2. Vstupní data on-premise '!$L196+'2. Vstupní data on-premise '!$L197)/DelkaProjektu,0)))</f>
        <v>0</v>
      </c>
      <c r="H66" s="635">
        <f>IF('2. Vstupní data on-premise '!$D$208="ANO",0,IF('2. Vstupní data on-premise '!$D$208="NE",IF(DelkaProjektu&gt;=H$29,('2. Vstupní data on-premise '!$L196+'2. Vstupní data on-premise '!$L197)/DelkaProjektu,0)))</f>
        <v>0</v>
      </c>
      <c r="I66" s="635">
        <f>IF('2. Vstupní data on-premise '!$D$208="ANO",0,IF('2. Vstupní data on-premise '!$D$208="NE",IF(DelkaProjektu&gt;=I$29,('2. Vstupní data on-premise '!$L196+'2. Vstupní data on-premise '!$L197)/DelkaProjektu,0)))</f>
        <v>0</v>
      </c>
      <c r="J66" s="657">
        <f t="shared" si="11"/>
        <v>0</v>
      </c>
      <c r="K66" s="132"/>
      <c r="L66" s="603" t="s">
        <v>475</v>
      </c>
      <c r="N66" s="596" t="s">
        <v>477</v>
      </c>
    </row>
    <row r="67" spans="2:14" ht="15" customHeight="1" x14ac:dyDescent="0.3">
      <c r="B67" s="633" t="s">
        <v>338</v>
      </c>
      <c r="C67" s="646" t="s">
        <v>337</v>
      </c>
      <c r="D67" s="646" t="str">
        <f t="shared" si="12"/>
        <v>Kč</v>
      </c>
      <c r="E67" s="635">
        <f>IF('2. Vstupní data on-premise '!$D$208="ANO",'2. Vstupní data on-premise '!$L198+'2. Vstupní data on-premise '!$L199,IF('2. Vstupní data on-premise '!$D$208="NE",IF(DelkaProjektu&gt;=E$29,('2. Vstupní data on-premise '!$L198+'2. Vstupní data on-premise '!$L199)/DelkaProjektu,0)))</f>
        <v>0</v>
      </c>
      <c r="F67" s="635">
        <f>IF('2. Vstupní data on-premise '!$D$208="ANO",0,IF('2. Vstupní data on-premise '!$D$208="NE",IF(DelkaProjektu&gt;=F$29,('2. Vstupní data on-premise '!$L198+'2. Vstupní data on-premise '!$L199)/DelkaProjektu,0)))</f>
        <v>0</v>
      </c>
      <c r="G67" s="635">
        <f>IF('2. Vstupní data on-premise '!$D$208="ANO",0,IF('2. Vstupní data on-premise '!$D$208="NE",IF(DelkaProjektu&gt;=G$29,('2. Vstupní data on-premise '!$L198+'2. Vstupní data on-premise '!$L199)/DelkaProjektu,0)))</f>
        <v>0</v>
      </c>
      <c r="H67" s="635">
        <f>IF('2. Vstupní data on-premise '!$D$208="ANO",0,IF('2. Vstupní data on-premise '!$D$208="NE",IF(DelkaProjektu&gt;=H$29,('2. Vstupní data on-premise '!$L198+'2. Vstupní data on-premise '!$L199)/DelkaProjektu,0)))</f>
        <v>0</v>
      </c>
      <c r="I67" s="635">
        <f>IF('2. Vstupní data on-premise '!$D$208="ANO",0,IF('2. Vstupní data on-premise '!$D$208="NE",IF(DelkaProjektu&gt;=I$29,('2. Vstupní data on-premise '!$L198+'2. Vstupní data on-premise '!$L199)/DelkaProjektu,0)))</f>
        <v>0</v>
      </c>
      <c r="J67" s="657">
        <f t="shared" si="11"/>
        <v>0</v>
      </c>
      <c r="K67" s="132"/>
      <c r="L67" s="603" t="s">
        <v>475</v>
      </c>
      <c r="N67" s="596" t="s">
        <v>477</v>
      </c>
    </row>
    <row r="68" spans="2:14" ht="15" customHeight="1" x14ac:dyDescent="0.3">
      <c r="B68" s="633" t="s">
        <v>340</v>
      </c>
      <c r="C68" s="646" t="s">
        <v>339</v>
      </c>
      <c r="D68" s="646" t="str">
        <f t="shared" si="12"/>
        <v>Kč</v>
      </c>
      <c r="E68" s="635">
        <f>IF('2. Vstupní data on-premise '!$D$208="ANO",'2. Vstupní data on-premise '!$L200+'2. Vstupní data on-premise '!$L201,IF('2. Vstupní data on-premise '!$D$208="NE",IF(DelkaProjektu&gt;=E$29,('2. Vstupní data on-premise '!$L200+'2. Vstupní data on-premise '!$L201)/DelkaProjektu,0)))</f>
        <v>0</v>
      </c>
      <c r="F68" s="635">
        <f>IF('2. Vstupní data on-premise '!$D$208="ANO",0,IF('2. Vstupní data on-premise '!$D$208="NE",IF(DelkaProjektu&gt;=F$29,('2. Vstupní data on-premise '!$L200+'2. Vstupní data on-premise '!$L201)/DelkaProjektu,0)))</f>
        <v>0</v>
      </c>
      <c r="G68" s="635">
        <f>IF('2. Vstupní data on-premise '!$D$208="ANO",0,IF('2. Vstupní data on-premise '!$D$208="NE",IF(DelkaProjektu&gt;=G$29,('2. Vstupní data on-premise '!$L200+'2. Vstupní data on-premise '!$L201)/DelkaProjektu,0)))</f>
        <v>0</v>
      </c>
      <c r="H68" s="635">
        <f>IF('2. Vstupní data on-premise '!$D$208="ANO",0,IF('2. Vstupní data on-premise '!$D$208="NE",IF(DelkaProjektu&gt;=H$29,('2. Vstupní data on-premise '!$L200+'2. Vstupní data on-premise '!$L201)/DelkaProjektu,0)))</f>
        <v>0</v>
      </c>
      <c r="I68" s="635">
        <f>IF('2. Vstupní data on-premise '!$D$208="ANO",0,IF('2. Vstupní data on-premise '!$D$208="NE",IF(DelkaProjektu&gt;=I$29,('2. Vstupní data on-premise '!$L200+'2. Vstupní data on-premise '!$L201)/DelkaProjektu,0)))</f>
        <v>0</v>
      </c>
      <c r="J68" s="657">
        <f t="shared" si="11"/>
        <v>0</v>
      </c>
      <c r="K68" s="132"/>
      <c r="L68" s="603" t="s">
        <v>475</v>
      </c>
      <c r="N68" s="596" t="s">
        <v>477</v>
      </c>
    </row>
    <row r="69" spans="2:14" ht="15" customHeight="1" x14ac:dyDescent="0.3">
      <c r="B69" s="633" t="s">
        <v>342</v>
      </c>
      <c r="C69" s="646" t="s">
        <v>514</v>
      </c>
      <c r="D69" s="646" t="str">
        <f t="shared" si="12"/>
        <v>Kč</v>
      </c>
      <c r="E69" s="635">
        <f>IF('2. Vstupní data on-premise '!$D$208="ANO",'2. Vstupní data on-premise '!$L202+'2. Vstupní data on-premise '!$L203,IF('2. Vstupní data on-premise '!$D$208="NE",IF(DelkaProjektu&gt;=E$29,('2. Vstupní data on-premise '!$L202+'2. Vstupní data on-premise '!$L203)/DelkaProjektu,0)))</f>
        <v>0</v>
      </c>
      <c r="F69" s="635">
        <f>IF('2. Vstupní data on-premise '!$D$208="ANO",0,IF('2. Vstupní data on-premise '!$D$208="NE",IF(DelkaProjektu&gt;=F$29,('2. Vstupní data on-premise '!$L202+'2. Vstupní data on-premise '!$L203)/DelkaProjektu,0)))</f>
        <v>0</v>
      </c>
      <c r="G69" s="635">
        <f>IF('2. Vstupní data on-premise '!$D$208="ANO",0,IF('2. Vstupní data on-premise '!$D$208="NE",IF(DelkaProjektu&gt;=G$29,('2. Vstupní data on-premise '!$L202+'2. Vstupní data on-premise '!$L203)/DelkaProjektu,0)))</f>
        <v>0</v>
      </c>
      <c r="H69" s="635">
        <f>IF('2. Vstupní data on-premise '!$D$208="ANO",0,IF('2. Vstupní data on-premise '!$D$208="NE",IF(DelkaProjektu&gt;=H$29,('2. Vstupní data on-premise '!$L202+'2. Vstupní data on-premise '!$L203)/DelkaProjektu,0)))</f>
        <v>0</v>
      </c>
      <c r="I69" s="635">
        <f>IF('2. Vstupní data on-premise '!$D$208="ANO",0,IF('2. Vstupní data on-premise '!$D$208="NE",IF(DelkaProjektu&gt;=I$29,('2. Vstupní data on-premise '!$L202+'2. Vstupní data on-premise '!$L203)/DelkaProjektu,0)))</f>
        <v>0</v>
      </c>
      <c r="J69" s="657">
        <f>SUM(E69:I69)</f>
        <v>0</v>
      </c>
      <c r="K69" s="132"/>
      <c r="L69" s="603" t="s">
        <v>475</v>
      </c>
      <c r="N69" s="596" t="s">
        <v>477</v>
      </c>
    </row>
    <row r="70" spans="2:14" ht="15" customHeight="1" x14ac:dyDescent="0.3">
      <c r="B70" s="633" t="s">
        <v>346</v>
      </c>
      <c r="C70" s="646" t="s">
        <v>515</v>
      </c>
      <c r="D70" s="646" t="str">
        <f t="shared" si="12"/>
        <v>Kč</v>
      </c>
      <c r="E70" s="635">
        <f>IF('2. Vstupní data on-premise '!$D$208="ANO",'2. Vstupní data on-premise '!$L205+'2. Vstupní data on-premise '!$L204,IF('2. Vstupní data on-premise '!$D$208="NE",IF(DelkaProjektu&gt;=E$29,('2. Vstupní data on-premise '!$L205+'2. Vstupní data on-premise '!$L204)/DelkaProjektu,0)))</f>
        <v>0</v>
      </c>
      <c r="F70" s="635">
        <f>IF('2. Vstupní data on-premise '!$D$208="ANO",0,IF('2. Vstupní data on-premise '!$D$208="NE",IF(DelkaProjektu&gt;=F$29,('2. Vstupní data on-premise '!$L205+'2. Vstupní data on-premise '!$L204)/DelkaProjektu,0)))</f>
        <v>0</v>
      </c>
      <c r="G70" s="635">
        <f>IF('2. Vstupní data on-premise '!$D$208="ANO",0,IF('2. Vstupní data on-premise '!$D$208="NE",IF(DelkaProjektu&gt;=G$29,('2. Vstupní data on-premise '!$L205+'2. Vstupní data on-premise '!$L204)/DelkaProjektu,0)))</f>
        <v>0</v>
      </c>
      <c r="H70" s="635">
        <f>IF('2. Vstupní data on-premise '!$D$208="ANO",0,IF('2. Vstupní data on-premise '!$D$208="NE",IF(DelkaProjektu&gt;=H$29,('2. Vstupní data on-premise '!$L205+'2. Vstupní data on-premise '!$L204)/DelkaProjektu,0)))</f>
        <v>0</v>
      </c>
      <c r="I70" s="635">
        <f>IF('2. Vstupní data on-premise '!$D$208="ANO",0,IF('2. Vstupní data on-premise '!$D$208="NE",IF(DelkaProjektu&gt;=I$29,('2. Vstupní data on-premise '!$L205+'2. Vstupní data on-premise '!$L204)/DelkaProjektu,0)))</f>
        <v>0</v>
      </c>
      <c r="J70" s="657">
        <f>SUM(E70:I70)</f>
        <v>0</v>
      </c>
      <c r="K70" s="132"/>
      <c r="L70" s="603" t="s">
        <v>475</v>
      </c>
      <c r="N70" s="596" t="s">
        <v>477</v>
      </c>
    </row>
    <row r="71" spans="2:14" ht="15" customHeight="1" x14ac:dyDescent="0.3">
      <c r="B71" s="654" t="s">
        <v>516</v>
      </c>
      <c r="C71" s="655" t="s">
        <v>517</v>
      </c>
      <c r="D71" s="655" t="str">
        <f t="shared" si="12"/>
        <v>Kč</v>
      </c>
      <c r="E71" s="656">
        <f>E86+E79+E72+E94+E95</f>
        <v>0</v>
      </c>
      <c r="F71" s="656">
        <f t="shared" ref="F71:I71" si="13">F86+F79+F72+F94+F95</f>
        <v>0</v>
      </c>
      <c r="G71" s="656">
        <f t="shared" si="13"/>
        <v>0</v>
      </c>
      <c r="H71" s="656">
        <f t="shared" si="13"/>
        <v>0</v>
      </c>
      <c r="I71" s="656">
        <f t="shared" si="13"/>
        <v>0</v>
      </c>
      <c r="J71" s="656">
        <f>SUM(E71:I71)</f>
        <v>0</v>
      </c>
      <c r="K71" s="132"/>
      <c r="L71" s="603" t="s">
        <v>475</v>
      </c>
    </row>
    <row r="72" spans="2:14" ht="15" customHeight="1" x14ac:dyDescent="0.3">
      <c r="B72" s="633" t="s">
        <v>518</v>
      </c>
      <c r="C72" s="659" t="s">
        <v>519</v>
      </c>
      <c r="D72" s="659" t="str">
        <f t="shared" si="12"/>
        <v>Kč</v>
      </c>
      <c r="E72" s="635">
        <f>SUM(E73:E78)</f>
        <v>0</v>
      </c>
      <c r="F72" s="635">
        <f t="shared" ref="F72:I72" si="14">SUM(F73:F78)</f>
        <v>0</v>
      </c>
      <c r="G72" s="635">
        <f t="shared" si="14"/>
        <v>0</v>
      </c>
      <c r="H72" s="635">
        <f t="shared" si="14"/>
        <v>0</v>
      </c>
      <c r="I72" s="635">
        <f t="shared" si="14"/>
        <v>0</v>
      </c>
      <c r="J72" s="636">
        <f>SUM(E72:I72)</f>
        <v>0</v>
      </c>
      <c r="K72" s="132"/>
      <c r="L72" s="603" t="s">
        <v>475</v>
      </c>
      <c r="N72" s="596" t="s">
        <v>477</v>
      </c>
    </row>
    <row r="73" spans="2:14" ht="15" customHeight="1" outlineLevel="1" x14ac:dyDescent="0.3">
      <c r="B73" s="641" t="s">
        <v>253</v>
      </c>
      <c r="C73" s="660" t="s">
        <v>520</v>
      </c>
      <c r="D73" s="660" t="str">
        <f t="shared" si="12"/>
        <v>Kč</v>
      </c>
      <c r="E73" s="647">
        <f>IF(DelkaProjektu&gt;=E$29,'2. Vstupní data on-premise '!$L134,0)</f>
        <v>0</v>
      </c>
      <c r="F73" s="647">
        <f>IF(DelkaProjektu&gt;=F$29,'2. Vstupní data on-premise '!$L134,0)</f>
        <v>0</v>
      </c>
      <c r="G73" s="647">
        <f>IF(DelkaProjektu&gt;=G$29,'2. Vstupní data on-premise '!$L134,0)</f>
        <v>0</v>
      </c>
      <c r="H73" s="647">
        <f>IF(DelkaProjektu&gt;=H$29,'2. Vstupní data on-premise '!$L134,0)</f>
        <v>0</v>
      </c>
      <c r="I73" s="647">
        <f>IF(DelkaProjektu&gt;=I$29,'2. Vstupní data on-premise '!$L134,0)</f>
        <v>0</v>
      </c>
      <c r="J73" s="661">
        <f t="shared" ref="J73:J78" si="15">SUM(E73:I73)</f>
        <v>0</v>
      </c>
      <c r="K73" s="132"/>
      <c r="L73" s="603" t="s">
        <v>475</v>
      </c>
      <c r="N73" s="596" t="s">
        <v>477</v>
      </c>
    </row>
    <row r="74" spans="2:14" ht="15" customHeight="1" outlineLevel="1" x14ac:dyDescent="0.3">
      <c r="B74" s="641" t="s">
        <v>257</v>
      </c>
      <c r="C74" s="660" t="s">
        <v>521</v>
      </c>
      <c r="D74" s="660" t="str">
        <f t="shared" si="12"/>
        <v>Kč</v>
      </c>
      <c r="E74" s="647">
        <f>IF(DelkaProjektu&gt;=E$29,'2. Vstupní data on-premise '!$L136+'2. Vstupní data on-premise '!$L142,0)</f>
        <v>0</v>
      </c>
      <c r="F74" s="647">
        <f>IF(DelkaProjektu&gt;=F$29,'2. Vstupní data on-premise '!$L136+'2. Vstupní data on-premise '!$L142,0)</f>
        <v>0</v>
      </c>
      <c r="G74" s="647">
        <f>IF(DelkaProjektu&gt;=G$29,'2. Vstupní data on-premise '!$L136+'2. Vstupní data on-premise '!$L142,0)</f>
        <v>0</v>
      </c>
      <c r="H74" s="647">
        <f>IF(DelkaProjektu&gt;=H$29,'2. Vstupní data on-premise '!$L136+'2. Vstupní data on-premise '!$L142,0)</f>
        <v>0</v>
      </c>
      <c r="I74" s="647">
        <f>IF(DelkaProjektu&gt;=I$29,'2. Vstupní data on-premise '!$L136+'2. Vstupní data on-premise '!$L142,0)</f>
        <v>0</v>
      </c>
      <c r="J74" s="661">
        <f t="shared" si="15"/>
        <v>0</v>
      </c>
      <c r="K74" s="132"/>
      <c r="L74" s="603" t="s">
        <v>475</v>
      </c>
      <c r="N74" s="596" t="s">
        <v>477</v>
      </c>
    </row>
    <row r="75" spans="2:14" ht="15" customHeight="1" outlineLevel="1" x14ac:dyDescent="0.3">
      <c r="B75" s="641" t="s">
        <v>261</v>
      </c>
      <c r="C75" s="660" t="s">
        <v>522</v>
      </c>
      <c r="D75" s="660" t="str">
        <f t="shared" si="12"/>
        <v>Kč</v>
      </c>
      <c r="E75" s="647">
        <f>IF(DelkaProjektu&gt;=E$29,'2. Vstupní data on-premise '!$L138,0)</f>
        <v>0</v>
      </c>
      <c r="F75" s="647">
        <f>IF(DelkaProjektu&gt;=F$29,'2. Vstupní data on-premise '!$L138,0)</f>
        <v>0</v>
      </c>
      <c r="G75" s="647">
        <f>IF(DelkaProjektu&gt;=G$29,'2. Vstupní data on-premise '!$L138,0)</f>
        <v>0</v>
      </c>
      <c r="H75" s="647">
        <f>IF(DelkaProjektu&gt;=H$29,'2. Vstupní data on-premise '!$L138,0)</f>
        <v>0</v>
      </c>
      <c r="I75" s="647">
        <f>IF(DelkaProjektu&gt;=I$29,'2. Vstupní data on-premise '!$L138,0)</f>
        <v>0</v>
      </c>
      <c r="J75" s="661">
        <f t="shared" si="15"/>
        <v>0</v>
      </c>
      <c r="K75" s="132"/>
      <c r="L75" s="603" t="s">
        <v>475</v>
      </c>
      <c r="N75" s="596" t="s">
        <v>477</v>
      </c>
    </row>
    <row r="76" spans="2:14" ht="15" customHeight="1" outlineLevel="1" x14ac:dyDescent="0.3">
      <c r="B76" s="641" t="s">
        <v>265</v>
      </c>
      <c r="C76" s="660" t="s">
        <v>523</v>
      </c>
      <c r="D76" s="660" t="str">
        <f t="shared" si="12"/>
        <v>Kč</v>
      </c>
      <c r="E76" s="647">
        <f>IF(DelkaProjektu&gt;=E$29,'2. Vstupní data on-premise '!$L140,0)</f>
        <v>0</v>
      </c>
      <c r="F76" s="647">
        <f>IF(DelkaProjektu&gt;=F$29,'2. Vstupní data on-premise '!$L140,0)</f>
        <v>0</v>
      </c>
      <c r="G76" s="647">
        <f>IF(DelkaProjektu&gt;=G$29,'2. Vstupní data on-premise '!$L140,0)</f>
        <v>0</v>
      </c>
      <c r="H76" s="647">
        <f>IF(DelkaProjektu&gt;=H$29,'2. Vstupní data on-premise '!$L140,0)</f>
        <v>0</v>
      </c>
      <c r="I76" s="647">
        <f>IF(DelkaProjektu&gt;=I$29,'2. Vstupní data on-premise '!$L140,0)</f>
        <v>0</v>
      </c>
      <c r="J76" s="661">
        <f t="shared" si="15"/>
        <v>0</v>
      </c>
      <c r="K76" s="132"/>
      <c r="L76" s="603" t="s">
        <v>475</v>
      </c>
      <c r="N76" s="596" t="s">
        <v>477</v>
      </c>
    </row>
    <row r="77" spans="2:14" ht="15" customHeight="1" outlineLevel="1" x14ac:dyDescent="0.3">
      <c r="B77" s="641" t="s">
        <v>242</v>
      </c>
      <c r="C77" s="660" t="s">
        <v>524</v>
      </c>
      <c r="D77" s="660" t="str">
        <f t="shared" si="12"/>
        <v>Kč</v>
      </c>
      <c r="E77" s="647">
        <f>IF(DelkaProjektu&gt;=E$29,'2. Vstupní data on-premise '!$L125+'2. Vstupní data on-premise '!$L126+'2. Vstupní data on-premise '!$L127+'2. Vstupní data on-premise '!$L128,0)</f>
        <v>0</v>
      </c>
      <c r="F77" s="647">
        <f>IF(DelkaProjektu&gt;=F$29,'2. Vstupní data on-premise '!$L125+'2. Vstupní data on-premise '!$L126+'2. Vstupní data on-premise '!$L127+'2. Vstupní data on-premise '!$L128,0)</f>
        <v>0</v>
      </c>
      <c r="G77" s="647">
        <f>IF(DelkaProjektu&gt;=G$29,'2. Vstupní data on-premise '!$L125+'2. Vstupní data on-premise '!$L126+'2. Vstupní data on-premise '!$L127+'2. Vstupní data on-premise '!$L128,0)</f>
        <v>0</v>
      </c>
      <c r="H77" s="647">
        <f>IF(DelkaProjektu&gt;=H$29,'2. Vstupní data on-premise '!$L125+'2. Vstupní data on-premise '!$L126+'2. Vstupní data on-premise '!$L127+'2. Vstupní data on-premise '!$L128,0)</f>
        <v>0</v>
      </c>
      <c r="I77" s="647">
        <f>IF(DelkaProjektu&gt;=I$29,'2. Vstupní data on-premise '!$L125+'2. Vstupní data on-premise '!$L126+'2. Vstupní data on-premise '!$L127+'2. Vstupní data on-premise '!$L128,0)</f>
        <v>0</v>
      </c>
      <c r="J77" s="661">
        <f t="shared" si="15"/>
        <v>0</v>
      </c>
      <c r="K77" s="132"/>
      <c r="L77" s="603" t="s">
        <v>475</v>
      </c>
      <c r="N77" s="596" t="s">
        <v>477</v>
      </c>
    </row>
    <row r="78" spans="2:14" ht="15" customHeight="1" outlineLevel="1" x14ac:dyDescent="0.3">
      <c r="B78" s="641" t="s">
        <v>270</v>
      </c>
      <c r="C78" s="660" t="s">
        <v>525</v>
      </c>
      <c r="D78" s="660" t="str">
        <f t="shared" si="12"/>
        <v>Kč</v>
      </c>
      <c r="E78" s="647">
        <f>IF(DelkaProjektu&gt;=E$29,'2. Vstupní data on-premise '!$L143+'2. Vstupní data on-premise '!$L149,0)</f>
        <v>0</v>
      </c>
      <c r="F78" s="647">
        <f>IF(DelkaProjektu&gt;=F$29,'2. Vstupní data on-premise '!$L143+'2. Vstupní data on-premise '!$L149,0)</f>
        <v>0</v>
      </c>
      <c r="G78" s="647">
        <f>IF(DelkaProjektu&gt;=G$29,'2. Vstupní data on-premise '!$L143+'2. Vstupní data on-premise '!$L149,0)</f>
        <v>0</v>
      </c>
      <c r="H78" s="647">
        <f>IF(DelkaProjektu&gt;=H$29,'2. Vstupní data on-premise '!$L143+'2. Vstupní data on-premise '!$L149,0)</f>
        <v>0</v>
      </c>
      <c r="I78" s="647">
        <f>IF(DelkaProjektu&gt;=I$29,'2. Vstupní data on-premise '!$L143+'2. Vstupní data on-premise '!$L149,0)</f>
        <v>0</v>
      </c>
      <c r="J78" s="661">
        <f t="shared" si="15"/>
        <v>0</v>
      </c>
      <c r="K78" s="132"/>
      <c r="L78" s="603" t="s">
        <v>475</v>
      </c>
      <c r="N78" s="596" t="s">
        <v>477</v>
      </c>
    </row>
    <row r="79" spans="2:14" ht="15" customHeight="1" x14ac:dyDescent="0.3">
      <c r="B79" s="633" t="s">
        <v>526</v>
      </c>
      <c r="C79" s="646" t="s">
        <v>527</v>
      </c>
      <c r="D79" s="646" t="str">
        <f t="shared" si="12"/>
        <v>Kč</v>
      </c>
      <c r="E79" s="635">
        <f>SUM(E80:E85)</f>
        <v>0</v>
      </c>
      <c r="F79" s="635">
        <f t="shared" ref="F79:J79" si="16">SUM(F80:F85)</f>
        <v>0</v>
      </c>
      <c r="G79" s="635">
        <f t="shared" si="16"/>
        <v>0</v>
      </c>
      <c r="H79" s="635">
        <f t="shared" si="16"/>
        <v>0</v>
      </c>
      <c r="I79" s="635">
        <f t="shared" si="16"/>
        <v>0</v>
      </c>
      <c r="J79" s="636">
        <f t="shared" si="16"/>
        <v>0</v>
      </c>
      <c r="K79" s="132"/>
      <c r="L79" s="603" t="s">
        <v>475</v>
      </c>
      <c r="N79" s="596" t="s">
        <v>477</v>
      </c>
    </row>
    <row r="80" spans="2:14" ht="15" customHeight="1" outlineLevel="1" x14ac:dyDescent="0.3">
      <c r="B80" s="641" t="s">
        <v>251</v>
      </c>
      <c r="C80" s="660" t="s">
        <v>528</v>
      </c>
      <c r="D80" s="660" t="str">
        <f t="shared" si="12"/>
        <v>Kč</v>
      </c>
      <c r="E80" s="647">
        <f>IF(DelkaProjektu&gt;=E$29,'2. Vstupní data on-premise '!$L133,0)</f>
        <v>0</v>
      </c>
      <c r="F80" s="647">
        <f>IF(DelkaProjektu&gt;=F$29,'2. Vstupní data on-premise '!$L133,0)</f>
        <v>0</v>
      </c>
      <c r="G80" s="647">
        <f>IF(DelkaProjektu&gt;=G$29,'2. Vstupní data on-premise '!$L133,0)</f>
        <v>0</v>
      </c>
      <c r="H80" s="647">
        <f>IF(DelkaProjektu&gt;=H$29,'2. Vstupní data on-premise '!$L133,0)</f>
        <v>0</v>
      </c>
      <c r="I80" s="647">
        <f>IF(DelkaProjektu&gt;=I$29,'2. Vstupní data on-premise '!$L133,0)</f>
        <v>0</v>
      </c>
      <c r="J80" s="644">
        <f t="shared" ref="J80:J94" si="17">SUM(E80:I80)</f>
        <v>0</v>
      </c>
      <c r="K80" s="132"/>
      <c r="L80" s="603" t="s">
        <v>475</v>
      </c>
      <c r="N80" s="596" t="s">
        <v>477</v>
      </c>
    </row>
    <row r="81" spans="1:32" ht="15" customHeight="1" outlineLevel="1" x14ac:dyDescent="0.3">
      <c r="B81" s="641" t="s">
        <v>255</v>
      </c>
      <c r="C81" s="660" t="s">
        <v>529</v>
      </c>
      <c r="D81" s="660" t="str">
        <f t="shared" si="12"/>
        <v>Kč</v>
      </c>
      <c r="E81" s="647">
        <f>IF(DelkaProjektu&gt;=E$29,'2. Vstupní data on-premise '!$L135,0)</f>
        <v>0</v>
      </c>
      <c r="F81" s="647">
        <f>IF(DelkaProjektu&gt;=F$29,'2. Vstupní data on-premise '!$L135,0)</f>
        <v>0</v>
      </c>
      <c r="G81" s="647">
        <f>IF(DelkaProjektu&gt;=G$29,'2. Vstupní data on-premise '!$L135,0)</f>
        <v>0</v>
      </c>
      <c r="H81" s="647">
        <f>IF(DelkaProjektu&gt;=H$29,'2. Vstupní data on-premise '!$L135,0)</f>
        <v>0</v>
      </c>
      <c r="I81" s="647">
        <f>IF(DelkaProjektu&gt;=I$29,'2. Vstupní data on-premise '!$L135,0)</f>
        <v>0</v>
      </c>
      <c r="J81" s="644">
        <f t="shared" si="17"/>
        <v>0</v>
      </c>
      <c r="K81" s="132"/>
      <c r="L81" s="603" t="s">
        <v>475</v>
      </c>
      <c r="N81" s="596" t="s">
        <v>477</v>
      </c>
    </row>
    <row r="82" spans="1:32" ht="15" customHeight="1" outlineLevel="1" x14ac:dyDescent="0.3">
      <c r="B82" s="641" t="s">
        <v>259</v>
      </c>
      <c r="C82" s="660" t="s">
        <v>530</v>
      </c>
      <c r="D82" s="660" t="str">
        <f t="shared" si="12"/>
        <v>Kč</v>
      </c>
      <c r="E82" s="647">
        <f>IF(DelkaProjektu&gt;=E$29,'2. Vstupní data on-premise '!$L137,0)</f>
        <v>0</v>
      </c>
      <c r="F82" s="647">
        <f>IF(DelkaProjektu&gt;=F$29,'2. Vstupní data on-premise '!$L137,0)</f>
        <v>0</v>
      </c>
      <c r="G82" s="647">
        <f>IF(DelkaProjektu&gt;=G$29,'2. Vstupní data on-premise '!$L137,0)</f>
        <v>0</v>
      </c>
      <c r="H82" s="647">
        <f>IF(DelkaProjektu&gt;=H$29,'2. Vstupní data on-premise '!$L137,0)</f>
        <v>0</v>
      </c>
      <c r="I82" s="647">
        <f>IF(DelkaProjektu&gt;=I$29,'2. Vstupní data on-premise '!$L137,0)</f>
        <v>0</v>
      </c>
      <c r="J82" s="644">
        <f t="shared" si="17"/>
        <v>0</v>
      </c>
      <c r="K82" s="132"/>
      <c r="L82" s="603" t="s">
        <v>475</v>
      </c>
      <c r="N82" s="596" t="s">
        <v>477</v>
      </c>
    </row>
    <row r="83" spans="1:32" ht="15" customHeight="1" outlineLevel="1" x14ac:dyDescent="0.3">
      <c r="B83" s="641" t="s">
        <v>263</v>
      </c>
      <c r="C83" s="660" t="s">
        <v>531</v>
      </c>
      <c r="D83" s="660" t="str">
        <f t="shared" si="12"/>
        <v>Kč</v>
      </c>
      <c r="E83" s="647">
        <f>IF(DelkaProjektu&gt;=E$29,'2. Vstupní data on-premise '!$L139,0)</f>
        <v>0</v>
      </c>
      <c r="F83" s="647">
        <f>IF(DelkaProjektu&gt;=F$29,'2. Vstupní data on-premise '!$L139,0)</f>
        <v>0</v>
      </c>
      <c r="G83" s="647">
        <f>IF(DelkaProjektu&gt;=G$29,'2. Vstupní data on-premise '!$L139,0)</f>
        <v>0</v>
      </c>
      <c r="H83" s="647">
        <f>IF(DelkaProjektu&gt;=H$29,'2. Vstupní data on-premise '!$L139,0)</f>
        <v>0</v>
      </c>
      <c r="I83" s="647">
        <f>IF(DelkaProjektu&gt;=I$29,'2. Vstupní data on-premise '!$L139,0)</f>
        <v>0</v>
      </c>
      <c r="J83" s="644">
        <f t="shared" si="17"/>
        <v>0</v>
      </c>
      <c r="K83" s="132"/>
      <c r="L83" s="603" t="s">
        <v>475</v>
      </c>
      <c r="N83" s="596" t="s">
        <v>477</v>
      </c>
    </row>
    <row r="84" spans="1:32" ht="15" customHeight="1" outlineLevel="1" x14ac:dyDescent="0.3">
      <c r="B84" s="641" t="s">
        <v>267</v>
      </c>
      <c r="C84" s="660" t="s">
        <v>532</v>
      </c>
      <c r="D84" s="660" t="str">
        <f t="shared" si="12"/>
        <v>Kč</v>
      </c>
      <c r="E84" s="647">
        <f>IF(DelkaProjektu&gt;=E$29,'2. Vstupní data on-premise '!$L141,0)</f>
        <v>0</v>
      </c>
      <c r="F84" s="647">
        <f>IF(DelkaProjektu&gt;=F$29,'2. Vstupní data on-premise '!$L141,0)</f>
        <v>0</v>
      </c>
      <c r="G84" s="647">
        <f>IF(DelkaProjektu&gt;=G$29,'2. Vstupní data on-premise '!$L141,0)</f>
        <v>0</v>
      </c>
      <c r="H84" s="647">
        <f>IF(DelkaProjektu&gt;=H$29,'2. Vstupní data on-premise '!$L141,0)</f>
        <v>0</v>
      </c>
      <c r="I84" s="647">
        <f>IF(DelkaProjektu&gt;=I$29,'2. Vstupní data on-premise '!$L141,0)</f>
        <v>0</v>
      </c>
      <c r="J84" s="644">
        <f t="shared" si="17"/>
        <v>0</v>
      </c>
      <c r="K84" s="132"/>
      <c r="L84" s="603" t="s">
        <v>475</v>
      </c>
      <c r="N84" s="596" t="s">
        <v>477</v>
      </c>
    </row>
    <row r="85" spans="1:32" ht="15" customHeight="1" outlineLevel="1" x14ac:dyDescent="0.3">
      <c r="B85" s="662" t="s">
        <v>272</v>
      </c>
      <c r="C85" s="660" t="s">
        <v>533</v>
      </c>
      <c r="D85" s="660" t="str">
        <f t="shared" si="12"/>
        <v>Kč</v>
      </c>
      <c r="E85" s="663">
        <f>IF(DelkaProjektu&gt;=E$29,'2. Vstupní data on-premise '!$L144+'2. Vstupní data on-premise '!$L150,0)</f>
        <v>0</v>
      </c>
      <c r="F85" s="663">
        <f>IF(DelkaProjektu&gt;=F$29,'2. Vstupní data on-premise '!$L144+'2. Vstupní data on-premise '!$L150,0)</f>
        <v>0</v>
      </c>
      <c r="G85" s="663">
        <f>IF(DelkaProjektu&gt;=G$29,'2. Vstupní data on-premise '!$L144+'2. Vstupní data on-premise '!$L150,0)</f>
        <v>0</v>
      </c>
      <c r="H85" s="663">
        <f>IF(DelkaProjektu&gt;=H$29,'2. Vstupní data on-premise '!$L144+'2. Vstupní data on-premise '!$L150,0)</f>
        <v>0</v>
      </c>
      <c r="I85" s="663">
        <f>IF(DelkaProjektu&gt;=I$29,'2. Vstupní data on-premise '!$L144+'2. Vstupní data on-premise '!$L150,0)</f>
        <v>0</v>
      </c>
      <c r="J85" s="644">
        <f t="shared" si="17"/>
        <v>0</v>
      </c>
      <c r="K85" s="132"/>
      <c r="L85" s="603" t="s">
        <v>475</v>
      </c>
      <c r="N85" s="596" t="s">
        <v>477</v>
      </c>
    </row>
    <row r="86" spans="1:32" ht="15" customHeight="1" x14ac:dyDescent="0.3">
      <c r="B86" s="633" t="s">
        <v>534</v>
      </c>
      <c r="C86" s="659" t="s">
        <v>535</v>
      </c>
      <c r="D86" s="659" t="str">
        <f t="shared" si="12"/>
        <v>Kč</v>
      </c>
      <c r="E86" s="635">
        <f>SUM(E87:E89)</f>
        <v>0</v>
      </c>
      <c r="F86" s="635">
        <f>SUM(F87:F89)</f>
        <v>0</v>
      </c>
      <c r="G86" s="635">
        <f>SUM(G87:G89)</f>
        <v>0</v>
      </c>
      <c r="H86" s="635">
        <f>SUM(H87:H89)</f>
        <v>0</v>
      </c>
      <c r="I86" s="635">
        <f>SUM(I87:I89)</f>
        <v>0</v>
      </c>
      <c r="J86" s="636">
        <f t="shared" si="17"/>
        <v>0</v>
      </c>
      <c r="K86" s="132"/>
      <c r="L86" s="603" t="s">
        <v>475</v>
      </c>
      <c r="N86" s="596" t="s">
        <v>483</v>
      </c>
    </row>
    <row r="87" spans="1:32" ht="15" customHeight="1" outlineLevel="1" x14ac:dyDescent="0.3">
      <c r="B87" s="662" t="s">
        <v>223</v>
      </c>
      <c r="C87" s="660" t="s">
        <v>536</v>
      </c>
      <c r="D87" s="660" t="str">
        <f t="shared" si="12"/>
        <v>Kč</v>
      </c>
      <c r="E87" s="647">
        <f>IF(DelkaProjektu&gt;=E$29,'2. Vstupní data on-premise '!$L111,0)</f>
        <v>0</v>
      </c>
      <c r="F87" s="647">
        <f>IF(DelkaProjektu&gt;=F$29,'2. Vstupní data on-premise '!$L111,0)</f>
        <v>0</v>
      </c>
      <c r="G87" s="647">
        <f>IF(DelkaProjektu&gt;=G$29,'2. Vstupní data on-premise '!$L111,0)</f>
        <v>0</v>
      </c>
      <c r="H87" s="647">
        <f>IF(DelkaProjektu&gt;=H$29,'2. Vstupní data on-premise '!$L111,0)</f>
        <v>0</v>
      </c>
      <c r="I87" s="647">
        <f>IF(DelkaProjektu&gt;=I$29,'2. Vstupní data on-premise '!$L111,0)</f>
        <v>0</v>
      </c>
      <c r="J87" s="661">
        <f t="shared" si="17"/>
        <v>0</v>
      </c>
      <c r="K87" s="132"/>
      <c r="L87" s="603" t="s">
        <v>475</v>
      </c>
      <c r="N87" s="596" t="s">
        <v>483</v>
      </c>
    </row>
    <row r="88" spans="1:32" ht="15" customHeight="1" outlineLevel="1" x14ac:dyDescent="0.3">
      <c r="B88" s="662" t="s">
        <v>186</v>
      </c>
      <c r="C88" s="660" t="s">
        <v>537</v>
      </c>
      <c r="D88" s="660" t="str">
        <f t="shared" si="12"/>
        <v>Kč</v>
      </c>
      <c r="E88" s="647">
        <f>IF(DelkaProjektu&gt;=E$29,'2. Vstupní data on-premise '!$L83,0)</f>
        <v>0</v>
      </c>
      <c r="F88" s="647">
        <f>IF(DelkaProjektu&gt;=F$29,'2. Vstupní data on-premise '!$L83,0)</f>
        <v>0</v>
      </c>
      <c r="G88" s="647">
        <f>IF(DelkaProjektu&gt;=G$29,'2. Vstupní data on-premise '!$L83,0)</f>
        <v>0</v>
      </c>
      <c r="H88" s="647">
        <f>IF(DelkaProjektu&gt;=H$29,'2. Vstupní data on-premise '!$L83,0)</f>
        <v>0</v>
      </c>
      <c r="I88" s="647">
        <f>IF(DelkaProjektu&gt;=I$29,'2. Vstupní data on-premise '!$L83,0)</f>
        <v>0</v>
      </c>
      <c r="J88" s="661">
        <f t="shared" si="17"/>
        <v>0</v>
      </c>
      <c r="K88" s="132"/>
      <c r="L88" s="603" t="s">
        <v>475</v>
      </c>
      <c r="N88" s="596" t="s">
        <v>483</v>
      </c>
    </row>
    <row r="89" spans="1:32" ht="15" customHeight="1" outlineLevel="1" x14ac:dyDescent="0.3">
      <c r="B89" s="662" t="s">
        <v>538</v>
      </c>
      <c r="C89" s="664" t="s">
        <v>234</v>
      </c>
      <c r="D89" s="664" t="str">
        <f t="shared" si="12"/>
        <v>Kč</v>
      </c>
      <c r="E89" s="665">
        <f>SUM(E90:E93)</f>
        <v>0</v>
      </c>
      <c r="F89" s="665">
        <f>SUM(F90:F93)</f>
        <v>0</v>
      </c>
      <c r="G89" s="665">
        <f>SUM(G90:G93)</f>
        <v>0</v>
      </c>
      <c r="H89" s="665">
        <f>SUM(H90:H93)</f>
        <v>0</v>
      </c>
      <c r="I89" s="665">
        <f>SUM(I90:I93)</f>
        <v>0</v>
      </c>
      <c r="J89" s="661">
        <f t="shared" si="17"/>
        <v>0</v>
      </c>
      <c r="K89" s="517"/>
      <c r="L89" s="603" t="s">
        <v>475</v>
      </c>
      <c r="M89" s="517"/>
      <c r="N89" s="517"/>
    </row>
    <row r="90" spans="1:32" ht="15" customHeight="1" outlineLevel="1" x14ac:dyDescent="0.3">
      <c r="B90" s="662"/>
      <c r="C90" s="664" t="s">
        <v>539</v>
      </c>
      <c r="D90" s="664" t="str">
        <f t="shared" si="12"/>
        <v>Kč</v>
      </c>
      <c r="E90" s="647">
        <f>IF(DelkaProjektu&gt;=E$29,'2. Vstupní data on-premise '!$L119,0)</f>
        <v>0</v>
      </c>
      <c r="F90" s="647">
        <f>IF(DelkaProjektu&gt;=F$29,'2. Vstupní data on-premise '!$L119,0)</f>
        <v>0</v>
      </c>
      <c r="G90" s="647">
        <f>IF(DelkaProjektu&gt;=G$29,'2. Vstupní data on-premise '!$L119,0)</f>
        <v>0</v>
      </c>
      <c r="H90" s="647">
        <f>IF(DelkaProjektu&gt;=H$29,'2. Vstupní data on-premise '!$L119,0)</f>
        <v>0</v>
      </c>
      <c r="I90" s="647">
        <f>IF(DelkaProjektu&gt;=I$29,'2. Vstupní data on-premise '!$L119,0)</f>
        <v>0</v>
      </c>
      <c r="J90" s="661">
        <f t="shared" si="17"/>
        <v>0</v>
      </c>
      <c r="K90" s="132"/>
      <c r="L90" s="603" t="s">
        <v>475</v>
      </c>
      <c r="N90" s="596" t="s">
        <v>483</v>
      </c>
    </row>
    <row r="91" spans="1:32" ht="15" customHeight="1" outlineLevel="1" x14ac:dyDescent="0.3">
      <c r="B91" s="662"/>
      <c r="C91" s="660" t="s">
        <v>540</v>
      </c>
      <c r="D91" s="660" t="str">
        <f t="shared" si="12"/>
        <v>Kč</v>
      </c>
      <c r="E91" s="647">
        <f>IF(DelkaProjektu&gt;=E$29,'2. Vstupní data on-premise '!$L116,0)</f>
        <v>0</v>
      </c>
      <c r="F91" s="647">
        <f>IF(DelkaProjektu&gt;=F$29,'2. Vstupní data on-premise '!$L116,0)</f>
        <v>0</v>
      </c>
      <c r="G91" s="647">
        <f>IF(DelkaProjektu&gt;=G$29,'2. Vstupní data on-premise '!$L116,0)</f>
        <v>0</v>
      </c>
      <c r="H91" s="647">
        <f>IF(DelkaProjektu&gt;=H$29,'2. Vstupní data on-premise '!$L116,0)</f>
        <v>0</v>
      </c>
      <c r="I91" s="647">
        <f>IF(DelkaProjektu&gt;=I$29,'2. Vstupní data on-premise '!$L116,0)</f>
        <v>0</v>
      </c>
      <c r="J91" s="644">
        <f t="shared" si="17"/>
        <v>0</v>
      </c>
      <c r="K91" s="132"/>
      <c r="L91" s="603" t="s">
        <v>475</v>
      </c>
      <c r="N91" s="596" t="s">
        <v>483</v>
      </c>
    </row>
    <row r="92" spans="1:32" ht="15" customHeight="1" outlineLevel="1" x14ac:dyDescent="0.3">
      <c r="B92" s="662"/>
      <c r="C92" s="660" t="s">
        <v>541</v>
      </c>
      <c r="D92" s="660" t="str">
        <f t="shared" si="12"/>
        <v>Kč</v>
      </c>
      <c r="E92" s="647">
        <f>IF(DelkaProjektu&gt;=E$29,'2. Vstupní data on-premise '!$L117,0)</f>
        <v>0</v>
      </c>
      <c r="F92" s="647">
        <f>IF(DelkaProjektu&gt;=F$29,'2. Vstupní data on-premise '!$L117,0)</f>
        <v>0</v>
      </c>
      <c r="G92" s="647">
        <f>IF(DelkaProjektu&gt;=G$29,'2. Vstupní data on-premise '!$L117,0)</f>
        <v>0</v>
      </c>
      <c r="H92" s="647">
        <f>IF(DelkaProjektu&gt;=H$29,'2. Vstupní data on-premise '!$L117,0)</f>
        <v>0</v>
      </c>
      <c r="I92" s="647">
        <f>IF(DelkaProjektu&gt;=I$29,'2. Vstupní data on-premise '!$L117,0)</f>
        <v>0</v>
      </c>
      <c r="J92" s="644">
        <f t="shared" si="17"/>
        <v>0</v>
      </c>
      <c r="K92" s="132"/>
      <c r="L92" s="603" t="s">
        <v>475</v>
      </c>
      <c r="N92" s="596" t="s">
        <v>483</v>
      </c>
    </row>
    <row r="93" spans="1:32" ht="15" customHeight="1" outlineLevel="1" x14ac:dyDescent="0.3">
      <c r="B93" s="662"/>
      <c r="C93" s="660" t="s">
        <v>542</v>
      </c>
      <c r="D93" s="660" t="str">
        <f t="shared" si="12"/>
        <v>Kč</v>
      </c>
      <c r="E93" s="647">
        <f>IF(DelkaProjektu&gt;=E$29,'2. Vstupní data on-premise '!$L118,0)</f>
        <v>0</v>
      </c>
      <c r="F93" s="647">
        <f>IF(DelkaProjektu&gt;=F$29,'2. Vstupní data on-premise '!$L118,0)</f>
        <v>0</v>
      </c>
      <c r="G93" s="647">
        <f>IF(DelkaProjektu&gt;=G$29,'2. Vstupní data on-premise '!$L118,0)</f>
        <v>0</v>
      </c>
      <c r="H93" s="647">
        <f>IF(DelkaProjektu&gt;=H$29,'2. Vstupní data on-premise '!$L118,0)</f>
        <v>0</v>
      </c>
      <c r="I93" s="647">
        <f>IF(DelkaProjektu&gt;=I$29,'2. Vstupní data on-premise '!$L118,0)</f>
        <v>0</v>
      </c>
      <c r="J93" s="644">
        <f t="shared" si="17"/>
        <v>0</v>
      </c>
      <c r="K93" s="132"/>
      <c r="L93" s="603" t="s">
        <v>475</v>
      </c>
      <c r="N93" s="596" t="s">
        <v>483</v>
      </c>
    </row>
    <row r="94" spans="1:32" ht="15" customHeight="1" x14ac:dyDescent="0.3">
      <c r="A94" s="594"/>
      <c r="B94" s="650" t="s">
        <v>286</v>
      </c>
      <c r="C94" s="666" t="s">
        <v>543</v>
      </c>
      <c r="D94" s="666" t="str">
        <f t="shared" ref="D94:D125" si="18">JenotkaMěny</f>
        <v>Kč</v>
      </c>
      <c r="E94" s="652">
        <f>IF(DelkaProjektu&gt;=E$29,'2. Vstupní data on-premise '!$L155+'2. Vstupní data on-premise '!$L156+'2. Vstupní data on-premise '!$L157,0)</f>
        <v>0</v>
      </c>
      <c r="F94" s="652">
        <f>IF(DelkaProjektu&gt;=F$29,'2. Vstupní data on-premise '!$L155+'2. Vstupní data on-premise '!$L156+'2. Vstupní data on-premise '!$L157,0)</f>
        <v>0</v>
      </c>
      <c r="G94" s="652">
        <f>IF(DelkaProjektu&gt;=G$29,'2. Vstupní data on-premise '!$L155+'2. Vstupní data on-premise '!$L156+'2. Vstupní data on-premise '!$L157,0)</f>
        <v>0</v>
      </c>
      <c r="H94" s="652">
        <f>IF(DelkaProjektu&gt;=H$29,'2. Vstupní data on-premise '!$L155+'2. Vstupní data on-premise '!$L156+'2. Vstupní data on-premise '!$L157,0)</f>
        <v>0</v>
      </c>
      <c r="I94" s="652">
        <f>IF(DelkaProjektu&gt;=I$29,'2. Vstupní data on-premise '!$L155+'2. Vstupní data on-premise '!$L156+'2. Vstupní data on-premise '!$L157,0)</f>
        <v>0</v>
      </c>
      <c r="J94" s="636">
        <f t="shared" si="17"/>
        <v>0</v>
      </c>
      <c r="K94" s="604"/>
      <c r="L94" s="603" t="s">
        <v>475</v>
      </c>
      <c r="M94" s="607"/>
      <c r="N94" s="607" t="s">
        <v>477</v>
      </c>
      <c r="O94" s="607"/>
      <c r="P94" s="516"/>
      <c r="Q94" s="516"/>
      <c r="R94" s="516"/>
      <c r="S94" s="516"/>
      <c r="T94" s="486"/>
      <c r="U94" s="486"/>
      <c r="V94" s="486"/>
      <c r="W94" s="486"/>
      <c r="X94" s="486"/>
      <c r="Y94" s="486"/>
      <c r="Z94" s="486"/>
      <c r="AA94" s="486"/>
      <c r="AB94" s="486"/>
      <c r="AC94" s="486"/>
      <c r="AD94" s="486"/>
      <c r="AE94" s="486"/>
      <c r="AF94" s="486"/>
    </row>
    <row r="95" spans="1:32" ht="15" customHeight="1" x14ac:dyDescent="0.3">
      <c r="A95" s="594"/>
      <c r="B95" s="650" t="s">
        <v>544</v>
      </c>
      <c r="C95" s="666" t="s">
        <v>545</v>
      </c>
      <c r="D95" s="666" t="str">
        <f t="shared" si="18"/>
        <v>Kč</v>
      </c>
      <c r="E95" s="652">
        <f t="shared" ref="E95:J95" si="19">SUM(E96:E97)</f>
        <v>0</v>
      </c>
      <c r="F95" s="652">
        <f t="shared" si="19"/>
        <v>0</v>
      </c>
      <c r="G95" s="652">
        <f t="shared" si="19"/>
        <v>0</v>
      </c>
      <c r="H95" s="652">
        <f t="shared" si="19"/>
        <v>0</v>
      </c>
      <c r="I95" s="652">
        <f t="shared" si="19"/>
        <v>0</v>
      </c>
      <c r="J95" s="636">
        <f t="shared" si="19"/>
        <v>0</v>
      </c>
      <c r="K95" s="604"/>
      <c r="L95" s="603" t="s">
        <v>475</v>
      </c>
      <c r="M95" s="607"/>
      <c r="N95" s="607" t="s">
        <v>477</v>
      </c>
      <c r="O95" s="607"/>
      <c r="P95" s="516"/>
      <c r="Q95" s="516"/>
      <c r="R95" s="516"/>
      <c r="S95" s="516"/>
      <c r="T95" s="486"/>
      <c r="U95" s="486"/>
      <c r="V95" s="486"/>
      <c r="W95" s="486"/>
      <c r="X95" s="486"/>
      <c r="Y95" s="486"/>
      <c r="Z95" s="486"/>
      <c r="AA95" s="486"/>
      <c r="AB95" s="486"/>
      <c r="AC95" s="486"/>
      <c r="AD95" s="486"/>
      <c r="AE95" s="486"/>
      <c r="AF95" s="486"/>
    </row>
    <row r="96" spans="1:32" ht="15" customHeight="1" outlineLevel="1" x14ac:dyDescent="0.3">
      <c r="A96" s="594"/>
      <c r="B96" s="667" t="s">
        <v>280</v>
      </c>
      <c r="C96" s="668" t="s">
        <v>546</v>
      </c>
      <c r="D96" s="668" t="str">
        <f t="shared" si="18"/>
        <v>Kč</v>
      </c>
      <c r="E96" s="663">
        <f>IF(DelkaProjektu&gt;=E$29,'2. Vstupní data on-premise '!$L148+'2. Vstupní data on-premise '!$L158,0)</f>
        <v>0</v>
      </c>
      <c r="F96" s="663">
        <f>IF(DelkaProjektu&gt;=F$29,'2. Vstupní data on-premise '!$L148+'2. Vstupní data on-premise '!$L158,0)</f>
        <v>0</v>
      </c>
      <c r="G96" s="663">
        <f>IF(DelkaProjektu&gt;=G$29,'2. Vstupní data on-premise '!$L148+'2. Vstupní data on-premise '!$L158,0)</f>
        <v>0</v>
      </c>
      <c r="H96" s="663">
        <f>IF(DelkaProjektu&gt;=H$29,'2. Vstupní data on-premise '!$L148+'2. Vstupní data on-premise '!$L158,0)</f>
        <v>0</v>
      </c>
      <c r="I96" s="663">
        <f>IF(DelkaProjektu&gt;=I$29,'2. Vstupní data on-premise '!$L148+'2. Vstupní data on-premise '!$L158,0)</f>
        <v>0</v>
      </c>
      <c r="J96" s="661">
        <f>SUM(E96:I96)</f>
        <v>0</v>
      </c>
      <c r="K96" s="604"/>
      <c r="L96" s="603" t="s">
        <v>475</v>
      </c>
      <c r="M96" s="607"/>
      <c r="N96" s="607" t="s">
        <v>477</v>
      </c>
      <c r="O96" s="607"/>
      <c r="P96" s="516"/>
      <c r="Q96" s="516"/>
      <c r="R96" s="516"/>
      <c r="S96" s="516"/>
      <c r="T96" s="486"/>
      <c r="U96" s="486"/>
      <c r="V96" s="486"/>
      <c r="W96" s="486"/>
      <c r="X96" s="486"/>
      <c r="Y96" s="486"/>
      <c r="Z96" s="486"/>
      <c r="AA96" s="486"/>
      <c r="AB96" s="486"/>
      <c r="AC96" s="486"/>
      <c r="AD96" s="486"/>
      <c r="AE96" s="486"/>
      <c r="AF96" s="486"/>
    </row>
    <row r="97" spans="1:32" ht="15" customHeight="1" outlineLevel="1" x14ac:dyDescent="0.3">
      <c r="A97" s="594"/>
      <c r="B97" s="667" t="s">
        <v>274</v>
      </c>
      <c r="C97" s="668" t="s">
        <v>547</v>
      </c>
      <c r="D97" s="668" t="str">
        <f t="shared" si="18"/>
        <v>Kč</v>
      </c>
      <c r="E97" s="663">
        <f>IF(DelkaProjektu&gt;=E$29,'2. Vstupní data on-premise '!$L145+'2. Vstupní data on-premise '!$L159,0)</f>
        <v>0</v>
      </c>
      <c r="F97" s="663">
        <f>IF(DelkaProjektu&gt;=F$29,'2. Vstupní data on-premise '!$L145+'2. Vstupní data on-premise '!$L159,0)</f>
        <v>0</v>
      </c>
      <c r="G97" s="663">
        <f>IF(DelkaProjektu&gt;=G$29,'2. Vstupní data on-premise '!$L145+'2. Vstupní data on-premise '!$L159,0)</f>
        <v>0</v>
      </c>
      <c r="H97" s="663">
        <f>IF(DelkaProjektu&gt;=H$29,'2. Vstupní data on-premise '!$L145+'2. Vstupní data on-premise '!$L159,0)</f>
        <v>0</v>
      </c>
      <c r="I97" s="663">
        <f>IF(DelkaProjektu&gt;=I$29,'2. Vstupní data on-premise '!$L145+'2. Vstupní data on-premise '!$L159,0)</f>
        <v>0</v>
      </c>
      <c r="J97" s="661">
        <f>SUM(E97:I97)</f>
        <v>0</v>
      </c>
      <c r="K97" s="604"/>
      <c r="L97" s="603" t="s">
        <v>475</v>
      </c>
      <c r="M97" s="607"/>
      <c r="N97" s="607" t="s">
        <v>477</v>
      </c>
      <c r="O97" s="607"/>
      <c r="P97" s="516"/>
      <c r="Q97" s="516"/>
      <c r="R97" s="516"/>
      <c r="S97" s="516"/>
      <c r="T97" s="486"/>
      <c r="U97" s="486"/>
      <c r="V97" s="486"/>
      <c r="W97" s="486"/>
      <c r="X97" s="486"/>
      <c r="Y97" s="486"/>
      <c r="Z97" s="486"/>
      <c r="AA97" s="486"/>
      <c r="AB97" s="486"/>
      <c r="AC97" s="486"/>
      <c r="AD97" s="486"/>
      <c r="AE97" s="486"/>
      <c r="AF97" s="486"/>
    </row>
    <row r="98" spans="1:32" ht="15" customHeight="1" x14ac:dyDescent="0.3">
      <c r="B98" s="654" t="s">
        <v>548</v>
      </c>
      <c r="C98" s="655" t="s">
        <v>549</v>
      </c>
      <c r="D98" s="655" t="str">
        <f t="shared" si="18"/>
        <v>Kč</v>
      </c>
      <c r="E98" s="656">
        <f>E99+E103+E108+E109+E110+E111+E112+E113+E114+E115</f>
        <v>0</v>
      </c>
      <c r="F98" s="656">
        <f t="shared" ref="F98:J98" si="20">F99+F103+F108+F109+F110+F111+F112+F113+F114+F115</f>
        <v>0</v>
      </c>
      <c r="G98" s="656">
        <f t="shared" si="20"/>
        <v>0</v>
      </c>
      <c r="H98" s="656">
        <f t="shared" si="20"/>
        <v>0</v>
      </c>
      <c r="I98" s="656">
        <f t="shared" si="20"/>
        <v>0</v>
      </c>
      <c r="J98" s="656">
        <f t="shared" si="20"/>
        <v>0</v>
      </c>
      <c r="K98" s="132"/>
      <c r="L98" s="603" t="s">
        <v>475</v>
      </c>
      <c r="N98" s="596" t="s">
        <v>483</v>
      </c>
    </row>
    <row r="99" spans="1:32" ht="15" customHeight="1" x14ac:dyDescent="0.3">
      <c r="B99" s="633" t="s">
        <v>550</v>
      </c>
      <c r="C99" s="634" t="s">
        <v>551</v>
      </c>
      <c r="D99" s="634" t="str">
        <f t="shared" si="18"/>
        <v>Kč</v>
      </c>
      <c r="E99" s="635">
        <f>SUM(E100:E102)</f>
        <v>0</v>
      </c>
      <c r="F99" s="635">
        <f t="shared" ref="F99:I99" si="21">SUM(F100:F102)</f>
        <v>0</v>
      </c>
      <c r="G99" s="635">
        <f t="shared" si="21"/>
        <v>0</v>
      </c>
      <c r="H99" s="635">
        <f t="shared" si="21"/>
        <v>0</v>
      </c>
      <c r="I99" s="635">
        <f t="shared" si="21"/>
        <v>0</v>
      </c>
      <c r="J99" s="636">
        <f>SUM(J100:J102)</f>
        <v>0</v>
      </c>
      <c r="K99" s="132"/>
      <c r="L99" s="603" t="s">
        <v>475</v>
      </c>
      <c r="N99" s="596" t="s">
        <v>483</v>
      </c>
      <c r="O99" s="608"/>
      <c r="P99" s="609"/>
      <c r="Q99" s="609"/>
      <c r="R99" s="609"/>
    </row>
    <row r="100" spans="1:32" ht="15" customHeight="1" outlineLevel="1" x14ac:dyDescent="0.3">
      <c r="B100" s="662" t="s">
        <v>552</v>
      </c>
      <c r="C100" s="669" t="s">
        <v>553</v>
      </c>
      <c r="D100" s="669" t="str">
        <f t="shared" si="18"/>
        <v>Kč</v>
      </c>
      <c r="E100" s="643">
        <f>IF(DelkaProjektu&gt;=E$29,'2. Vstupní data on-premise '!$L$59,0)</f>
        <v>0</v>
      </c>
      <c r="F100" s="643">
        <f>IF(DelkaProjektu&gt;=F$29,'2. Vstupní data on-premise '!$L$59,0)</f>
        <v>0</v>
      </c>
      <c r="G100" s="643">
        <f>IF(DelkaProjektu&gt;=G$29,'2. Vstupní data on-premise '!$L$59,0)</f>
        <v>0</v>
      </c>
      <c r="H100" s="643">
        <f>IF(DelkaProjektu&gt;=H$29,'2. Vstupní data on-premise '!$L$59,0)</f>
        <v>0</v>
      </c>
      <c r="I100" s="643">
        <f>IF(DelkaProjektu&gt;=I$29,'2. Vstupní data on-premise '!$L$59,0)</f>
        <v>0</v>
      </c>
      <c r="J100" s="670">
        <f t="shared" ref="J100:J139" si="22">SUM(E100:I100)</f>
        <v>0</v>
      </c>
      <c r="K100" s="132"/>
      <c r="L100" s="603" t="s">
        <v>475</v>
      </c>
      <c r="M100" s="606"/>
      <c r="N100" s="596" t="s">
        <v>483</v>
      </c>
      <c r="O100" s="608"/>
      <c r="P100" s="609"/>
      <c r="Q100" s="609"/>
      <c r="R100" s="609"/>
    </row>
    <row r="101" spans="1:32" ht="15" customHeight="1" outlineLevel="1" x14ac:dyDescent="0.3">
      <c r="B101" s="662" t="s">
        <v>184</v>
      </c>
      <c r="C101" s="669" t="s">
        <v>554</v>
      </c>
      <c r="D101" s="669" t="str">
        <f t="shared" si="18"/>
        <v>Kč</v>
      </c>
      <c r="E101" s="643">
        <f>IF(DelkaProjektu&gt;=E$29,'2. Vstupní data on-premise '!$L$82+'2. Vstupní data on-premise '!$L$94,0)</f>
        <v>0</v>
      </c>
      <c r="F101" s="643">
        <f>IF(DelkaProjektu&gt;=F$29,'2. Vstupní data on-premise '!$L$82+'2. Vstupní data on-premise '!$L$94,0)</f>
        <v>0</v>
      </c>
      <c r="G101" s="643">
        <f>IF(DelkaProjektu&gt;=G$29,'2. Vstupní data on-premise '!$L$82+'2. Vstupní data on-premise '!$L$94,0)</f>
        <v>0</v>
      </c>
      <c r="H101" s="643">
        <f>IF(DelkaProjektu&gt;=H$29,'2. Vstupní data on-premise '!$L$82+'2. Vstupní data on-premise '!$L$94,0)</f>
        <v>0</v>
      </c>
      <c r="I101" s="643">
        <f>IF(DelkaProjektu&gt;=I$29,'2. Vstupní data on-premise '!$L$82+'2. Vstupní data on-premise '!$L$94,0)</f>
        <v>0</v>
      </c>
      <c r="J101" s="670">
        <f t="shared" si="22"/>
        <v>0</v>
      </c>
      <c r="K101" s="132"/>
      <c r="L101" s="603" t="s">
        <v>475</v>
      </c>
      <c r="M101" s="606"/>
      <c r="N101" s="596" t="s">
        <v>483</v>
      </c>
      <c r="O101" s="608"/>
      <c r="P101" s="609"/>
      <c r="Q101" s="609"/>
      <c r="R101" s="609"/>
    </row>
    <row r="102" spans="1:32" ht="15" customHeight="1" outlineLevel="1" x14ac:dyDescent="0.3">
      <c r="B102" s="662" t="s">
        <v>212</v>
      </c>
      <c r="C102" s="669" t="s">
        <v>210</v>
      </c>
      <c r="D102" s="669" t="str">
        <f t="shared" si="18"/>
        <v>Kč</v>
      </c>
      <c r="E102" s="643">
        <f>IF(DelkaProjektu&gt;=E$29,'2. Vstupní data on-premise '!$L$101,0)</f>
        <v>0</v>
      </c>
      <c r="F102" s="643">
        <f>IF(DelkaProjektu&gt;=F$29,'2. Vstupní data on-premise '!$L$101,0)</f>
        <v>0</v>
      </c>
      <c r="G102" s="643">
        <f>IF(DelkaProjektu&gt;=G$29,'2. Vstupní data on-premise '!$L$101,0)</f>
        <v>0</v>
      </c>
      <c r="H102" s="643">
        <f>IF(DelkaProjektu&gt;=H$29,'2. Vstupní data on-premise '!$L$101,0)</f>
        <v>0</v>
      </c>
      <c r="I102" s="643">
        <f>IF(DelkaProjektu&gt;=I$29,'2. Vstupní data on-premise '!$L$101,0)</f>
        <v>0</v>
      </c>
      <c r="J102" s="670">
        <f t="shared" si="22"/>
        <v>0</v>
      </c>
      <c r="K102" s="132"/>
      <c r="L102" s="603" t="s">
        <v>475</v>
      </c>
      <c r="M102" s="606"/>
      <c r="N102" s="607" t="s">
        <v>477</v>
      </c>
      <c r="O102" s="608"/>
      <c r="P102" s="609"/>
      <c r="Q102" s="609"/>
      <c r="R102" s="609"/>
    </row>
    <row r="103" spans="1:32" ht="15" customHeight="1" x14ac:dyDescent="0.3">
      <c r="B103" s="633" t="s">
        <v>555</v>
      </c>
      <c r="C103" s="634" t="s">
        <v>556</v>
      </c>
      <c r="D103" s="634" t="str">
        <f t="shared" si="18"/>
        <v>Kč</v>
      </c>
      <c r="E103" s="635">
        <f>SUM(E104:E107)</f>
        <v>0</v>
      </c>
      <c r="F103" s="635">
        <f t="shared" ref="F103:J103" si="23">SUM(F104:F107)</f>
        <v>0</v>
      </c>
      <c r="G103" s="635">
        <f t="shared" si="23"/>
        <v>0</v>
      </c>
      <c r="H103" s="635">
        <f t="shared" si="23"/>
        <v>0</v>
      </c>
      <c r="I103" s="635">
        <f t="shared" si="23"/>
        <v>0</v>
      </c>
      <c r="J103" s="636">
        <f t="shared" si="23"/>
        <v>0</v>
      </c>
      <c r="K103" s="132"/>
      <c r="L103" s="603" t="s">
        <v>475</v>
      </c>
      <c r="M103" s="606"/>
      <c r="N103" s="596" t="s">
        <v>483</v>
      </c>
      <c r="O103" s="608"/>
      <c r="P103" s="609"/>
      <c r="Q103" s="609"/>
      <c r="R103" s="609"/>
    </row>
    <row r="104" spans="1:32" ht="15" customHeight="1" outlineLevel="1" x14ac:dyDescent="0.3">
      <c r="B104" s="662" t="s">
        <v>557</v>
      </c>
      <c r="C104" s="669" t="s">
        <v>558</v>
      </c>
      <c r="D104" s="669" t="str">
        <f t="shared" si="18"/>
        <v>Kč</v>
      </c>
      <c r="E104" s="643">
        <f>IF(DelkaProjektu&gt;=E$29,'2. Vstupní data on-premise '!$L$19,0)</f>
        <v>0</v>
      </c>
      <c r="F104" s="643">
        <f>IF(DelkaProjektu&gt;=F$29,'2. Vstupní data on-premise '!$L$19,0)</f>
        <v>0</v>
      </c>
      <c r="G104" s="643">
        <f>IF(DelkaProjektu&gt;=G$29,'2. Vstupní data on-premise '!$L$19,0)</f>
        <v>0</v>
      </c>
      <c r="H104" s="643">
        <f>IF(DelkaProjektu&gt;=H$29,'2. Vstupní data on-premise '!$L$19,0)</f>
        <v>0</v>
      </c>
      <c r="I104" s="643">
        <f>IF(DelkaProjektu&gt;=I$29,'2. Vstupní data on-premise '!$L$19,0)</f>
        <v>0</v>
      </c>
      <c r="J104" s="670">
        <f t="shared" si="22"/>
        <v>0</v>
      </c>
      <c r="K104" s="132"/>
      <c r="L104" s="603" t="s">
        <v>475</v>
      </c>
      <c r="N104" s="596" t="s">
        <v>483</v>
      </c>
      <c r="O104" s="608"/>
      <c r="P104" s="608"/>
      <c r="Q104" s="608"/>
      <c r="R104" s="609"/>
    </row>
    <row r="105" spans="1:32" ht="14.25" customHeight="1" outlineLevel="1" x14ac:dyDescent="0.3">
      <c r="B105" s="662" t="s">
        <v>559</v>
      </c>
      <c r="C105" s="669" t="s">
        <v>560</v>
      </c>
      <c r="D105" s="669" t="str">
        <f t="shared" si="18"/>
        <v>Kč</v>
      </c>
      <c r="E105" s="643">
        <f>IF(DelkaProjektu&gt;=E$29,'2. Vstupní data on-premise '!$L$23,0)</f>
        <v>0</v>
      </c>
      <c r="F105" s="643">
        <f>IF(DelkaProjektu&gt;=F$29,'2. Vstupní data on-premise '!$L$23,0)</f>
        <v>0</v>
      </c>
      <c r="G105" s="643">
        <f>IF(DelkaProjektu&gt;=G$29,'2. Vstupní data on-premise '!$L$23,0)</f>
        <v>0</v>
      </c>
      <c r="H105" s="643">
        <f>IF(DelkaProjektu&gt;=H$29,'2. Vstupní data on-premise '!$L$23,0)</f>
        <v>0</v>
      </c>
      <c r="I105" s="643">
        <f>IF(DelkaProjektu&gt;=I$29,'2. Vstupní data on-premise '!$L$23,0)</f>
        <v>0</v>
      </c>
      <c r="J105" s="670">
        <f>SUM(E105:I105)</f>
        <v>0</v>
      </c>
      <c r="K105" s="132"/>
      <c r="L105" s="603" t="s">
        <v>475</v>
      </c>
      <c r="N105" s="596" t="s">
        <v>483</v>
      </c>
      <c r="O105" s="608"/>
      <c r="P105" s="608"/>
      <c r="Q105" s="608"/>
      <c r="R105" s="609"/>
    </row>
    <row r="106" spans="1:32" ht="14.25" customHeight="1" outlineLevel="1" x14ac:dyDescent="0.3">
      <c r="B106" s="662" t="s">
        <v>128</v>
      </c>
      <c r="C106" s="669" t="s">
        <v>561</v>
      </c>
      <c r="D106" s="669" t="str">
        <f t="shared" si="18"/>
        <v>Kč</v>
      </c>
      <c r="E106" s="643">
        <f>IF(DelkaProjektu&gt;=E$29,'2. Vstupní data on-premise '!$L$31+'2. Vstupní data on-premise '!$L$33,0)</f>
        <v>0</v>
      </c>
      <c r="F106" s="643">
        <f>IF(DelkaProjektu&gt;=F$29,'2. Vstupní data on-premise '!$L$31+'2. Vstupní data on-premise '!$L$33,0)</f>
        <v>0</v>
      </c>
      <c r="G106" s="643">
        <f>IF(DelkaProjektu&gt;=G$29,'2. Vstupní data on-premise '!$L$31+'2. Vstupní data on-premise '!$L$33,0)</f>
        <v>0</v>
      </c>
      <c r="H106" s="643">
        <f>IF(DelkaProjektu&gt;=H$29,'2. Vstupní data on-premise '!$L$31+'2. Vstupní data on-premise '!$L$33,0)</f>
        <v>0</v>
      </c>
      <c r="I106" s="643">
        <f>IF(DelkaProjektu&gt;=I$29,'2. Vstupní data on-premise '!$L$31+'2. Vstupní data on-premise '!$L$33,0)</f>
        <v>0</v>
      </c>
      <c r="J106" s="670">
        <f>SUM(E106:I106)</f>
        <v>0</v>
      </c>
      <c r="K106" s="132"/>
      <c r="L106" s="603" t="s">
        <v>475</v>
      </c>
      <c r="N106" s="596" t="s">
        <v>483</v>
      </c>
      <c r="O106" s="608"/>
      <c r="P106" s="608"/>
      <c r="Q106" s="608"/>
      <c r="R106" s="609"/>
    </row>
    <row r="107" spans="1:32" ht="14.25" customHeight="1" outlineLevel="1" x14ac:dyDescent="0.3">
      <c r="B107" s="662" t="s">
        <v>122</v>
      </c>
      <c r="C107" s="669" t="s">
        <v>455</v>
      </c>
      <c r="D107" s="669" t="str">
        <f t="shared" si="18"/>
        <v>Kč</v>
      </c>
      <c r="E107" s="643">
        <f>IF(DelkaProjektu&gt;=E$29,'2. Vstupní data on-premise '!$L$27,0)</f>
        <v>0</v>
      </c>
      <c r="F107" s="643">
        <f>IF(DelkaProjektu&gt;=F$29,'2. Vstupní data on-premise '!$L$27,0)</f>
        <v>0</v>
      </c>
      <c r="G107" s="643">
        <f>IF(DelkaProjektu&gt;=G$29,'2. Vstupní data on-premise '!$L$27,0)</f>
        <v>0</v>
      </c>
      <c r="H107" s="643">
        <f>IF(DelkaProjektu&gt;=H$29,'2. Vstupní data on-premise '!$L$27,0)</f>
        <v>0</v>
      </c>
      <c r="I107" s="643">
        <f>IF(DelkaProjektu&gt;=I$29,'2. Vstupní data on-premise '!$L$27,0)</f>
        <v>0</v>
      </c>
      <c r="J107" s="670">
        <f>SUM(E107:I107)</f>
        <v>0</v>
      </c>
      <c r="K107" s="132"/>
      <c r="L107" s="603" t="s">
        <v>475</v>
      </c>
      <c r="N107" s="596" t="s">
        <v>477</v>
      </c>
      <c r="O107" s="608"/>
      <c r="P107" s="608"/>
      <c r="Q107" s="608"/>
      <c r="R107" s="609"/>
    </row>
    <row r="108" spans="1:32" ht="14.25" customHeight="1" x14ac:dyDescent="0.3">
      <c r="B108" s="633" t="s">
        <v>136</v>
      </c>
      <c r="C108" s="634" t="s">
        <v>562</v>
      </c>
      <c r="D108" s="634" t="str">
        <f t="shared" si="18"/>
        <v>Kč</v>
      </c>
      <c r="E108" s="635">
        <f>IF(DelkaProjektu&gt;=E$29,'2. Vstupní data on-premise '!$L$39,0)</f>
        <v>0</v>
      </c>
      <c r="F108" s="635">
        <f>IF(DelkaProjektu&gt;=F$29,'2. Vstupní data on-premise '!$L$39,0)</f>
        <v>0</v>
      </c>
      <c r="G108" s="635">
        <f>IF(DelkaProjektu&gt;=G$29,'2. Vstupní data on-premise '!$L$39,0)</f>
        <v>0</v>
      </c>
      <c r="H108" s="635">
        <f>IF(DelkaProjektu&gt;=H$29,'2. Vstupní data on-premise '!$L$39,0)</f>
        <v>0</v>
      </c>
      <c r="I108" s="635">
        <f>IF(DelkaProjektu&gt;=I$29,'2. Vstupní data on-premise '!$L$39,0)</f>
        <v>0</v>
      </c>
      <c r="J108" s="657">
        <f t="shared" si="22"/>
        <v>0</v>
      </c>
      <c r="K108" s="132"/>
      <c r="L108" s="603" t="s">
        <v>475</v>
      </c>
      <c r="N108" s="596" t="s">
        <v>477</v>
      </c>
      <c r="O108" s="608"/>
      <c r="P108" s="609"/>
      <c r="Q108" s="609"/>
      <c r="R108" s="609"/>
    </row>
    <row r="109" spans="1:32" ht="14.25" customHeight="1" x14ac:dyDescent="0.3">
      <c r="B109" s="633" t="s">
        <v>150</v>
      </c>
      <c r="C109" s="634" t="s">
        <v>563</v>
      </c>
      <c r="D109" s="634" t="str">
        <f t="shared" si="18"/>
        <v>Kč</v>
      </c>
      <c r="E109" s="635">
        <f>IF(DelkaProjektu&gt;=E$29,'2. Vstupní data on-premise '!$L$50,0)</f>
        <v>0</v>
      </c>
      <c r="F109" s="635">
        <f>IF(DelkaProjektu&gt;=F$29,'2. Vstupní data on-premise '!$L$50,0)</f>
        <v>0</v>
      </c>
      <c r="G109" s="635">
        <f>IF(DelkaProjektu&gt;=G$29,'2. Vstupní data on-premise '!$L$50,0)</f>
        <v>0</v>
      </c>
      <c r="H109" s="635">
        <f>IF(DelkaProjektu&gt;=H$29,'2. Vstupní data on-premise '!$L$50,0)</f>
        <v>0</v>
      </c>
      <c r="I109" s="635">
        <f>IF(DelkaProjektu&gt;=I$29,'2. Vstupní data on-premise '!$L$50,0)</f>
        <v>0</v>
      </c>
      <c r="J109" s="657">
        <f t="shared" ref="J109:J115" si="24">SUM(E109:I109)</f>
        <v>0</v>
      </c>
      <c r="K109" s="132"/>
      <c r="L109" s="603" t="s">
        <v>475</v>
      </c>
      <c r="M109" s="601"/>
      <c r="N109" s="596" t="s">
        <v>483</v>
      </c>
      <c r="O109" s="608"/>
      <c r="P109" s="609"/>
      <c r="Q109" s="609"/>
      <c r="R109" s="609"/>
    </row>
    <row r="110" spans="1:32" ht="14.25" customHeight="1" x14ac:dyDescent="0.3">
      <c r="A110" s="594"/>
      <c r="B110" s="650" t="s">
        <v>564</v>
      </c>
      <c r="C110" s="671" t="s">
        <v>565</v>
      </c>
      <c r="D110" s="671" t="str">
        <f t="shared" si="18"/>
        <v>Kč</v>
      </c>
      <c r="E110" s="652">
        <f>IF(DelkaProjektu&gt;=E$29,'2. Vstupní data on-premise '!$L$91+'2. Vstupní data on-premise '!$L$93+'2. Vstupní data on-premise '!$L$92,0)</f>
        <v>0</v>
      </c>
      <c r="F110" s="652">
        <f>IF(DelkaProjektu&gt;=F$29,'2. Vstupní data on-premise '!$L$91+'2. Vstupní data on-premise '!$L$93+'2. Vstupní data on-premise '!$L$92,0)</f>
        <v>0</v>
      </c>
      <c r="G110" s="652">
        <f>IF(DelkaProjektu&gt;=G$29,'2. Vstupní data on-premise '!$L$91+'2. Vstupní data on-premise '!$L$93+'2. Vstupní data on-premise '!$L$92,0)</f>
        <v>0</v>
      </c>
      <c r="H110" s="652">
        <f>IF(DelkaProjektu&gt;=H$29,'2. Vstupní data on-premise '!$L$91+'2. Vstupní data on-premise '!$L$93+'2. Vstupní data on-premise '!$L$92,0)</f>
        <v>0</v>
      </c>
      <c r="I110" s="652">
        <f>IF(DelkaProjektu&gt;=I$29,'2. Vstupní data on-premise '!$L$91+'2. Vstupní data on-premise '!$L$93+'2. Vstupní data on-premise '!$L$92,0)</f>
        <v>0</v>
      </c>
      <c r="J110" s="657">
        <f t="shared" si="24"/>
        <v>0</v>
      </c>
      <c r="K110" s="604"/>
      <c r="L110" s="603" t="s">
        <v>475</v>
      </c>
      <c r="M110" s="607"/>
      <c r="N110" s="596" t="s">
        <v>483</v>
      </c>
      <c r="O110" s="610"/>
      <c r="P110" s="611"/>
      <c r="Q110" s="611"/>
      <c r="R110" s="611"/>
      <c r="S110" s="516"/>
      <c r="T110" s="486"/>
      <c r="U110" s="486"/>
      <c r="V110" s="486"/>
      <c r="W110" s="486"/>
      <c r="X110" s="486"/>
      <c r="Y110" s="486"/>
      <c r="Z110" s="486"/>
      <c r="AA110" s="486"/>
      <c r="AB110" s="486"/>
      <c r="AC110" s="486"/>
      <c r="AD110" s="486"/>
      <c r="AE110" s="486"/>
      <c r="AF110" s="486"/>
    </row>
    <row r="111" spans="1:32" ht="25.95" customHeight="1" x14ac:dyDescent="0.3">
      <c r="A111" s="594"/>
      <c r="B111" s="650" t="s">
        <v>160</v>
      </c>
      <c r="C111" s="672" t="s">
        <v>566</v>
      </c>
      <c r="D111" s="672" t="str">
        <f t="shared" si="18"/>
        <v>Kč</v>
      </c>
      <c r="E111" s="652">
        <f>IF(DelkaProjektu&gt;=E$29,'2. Vstupní data on-premise '!$L$60+'2. Vstupní data on-premise '!$L$61,0)</f>
        <v>0</v>
      </c>
      <c r="F111" s="652">
        <f>IF(DelkaProjektu&gt;=F$29,'2. Vstupní data on-premise '!$L$60+'2. Vstupní data on-premise '!$L$61,0)</f>
        <v>0</v>
      </c>
      <c r="G111" s="652">
        <f>IF(DelkaProjektu&gt;=G$29,'2. Vstupní data on-premise '!$L$60+'2. Vstupní data on-premise '!$L$61,0)</f>
        <v>0</v>
      </c>
      <c r="H111" s="652">
        <f>IF(DelkaProjektu&gt;=H$29,'2. Vstupní data on-premise '!$L$60+'2. Vstupní data on-premise '!$L$61,0)</f>
        <v>0</v>
      </c>
      <c r="I111" s="652">
        <f>IF(DelkaProjektu&gt;=I$29,'2. Vstupní data on-premise '!$L$60+'2. Vstupní data on-premise '!$L$61,0)</f>
        <v>0</v>
      </c>
      <c r="J111" s="657">
        <f t="shared" si="24"/>
        <v>0</v>
      </c>
      <c r="K111" s="604"/>
      <c r="L111" s="603" t="s">
        <v>475</v>
      </c>
      <c r="M111" s="607"/>
      <c r="N111" s="596" t="s">
        <v>483</v>
      </c>
      <c r="O111" s="610"/>
      <c r="P111" s="611"/>
      <c r="Q111" s="611"/>
      <c r="R111" s="611"/>
      <c r="S111" s="516"/>
      <c r="T111" s="486"/>
      <c r="U111" s="486"/>
      <c r="V111" s="486"/>
      <c r="W111" s="486"/>
      <c r="X111" s="486"/>
      <c r="Y111" s="486"/>
      <c r="Z111" s="486"/>
      <c r="AA111" s="486"/>
      <c r="AB111" s="486"/>
      <c r="AC111" s="486"/>
      <c r="AD111" s="486"/>
      <c r="AE111" s="486"/>
      <c r="AF111" s="486"/>
    </row>
    <row r="112" spans="1:32" ht="25.95" customHeight="1" x14ac:dyDescent="0.3">
      <c r="A112" s="594"/>
      <c r="B112" s="650" t="s">
        <v>130</v>
      </c>
      <c r="C112" s="672" t="s">
        <v>129</v>
      </c>
      <c r="D112" s="672" t="str">
        <f t="shared" si="18"/>
        <v>Kč</v>
      </c>
      <c r="E112" s="652">
        <f>IF(DelkaProjektu&gt;=E$29,'2. Vstupní data on-premise '!$L$34+'2. Vstupní data on-premise '!$L$35,0)</f>
        <v>0</v>
      </c>
      <c r="F112" s="652">
        <f>IF(DelkaProjektu&gt;=F$29,'2. Vstupní data on-premise '!$L$34+'2. Vstupní data on-premise '!$L$35,0)</f>
        <v>0</v>
      </c>
      <c r="G112" s="652">
        <f>IF(DelkaProjektu&gt;=G$29,'2. Vstupní data on-premise '!$L$34+'2. Vstupní data on-premise '!$L$35,0)</f>
        <v>0</v>
      </c>
      <c r="H112" s="652">
        <f>IF(DelkaProjektu&gt;=H$29,'2. Vstupní data on-premise '!$L$34+'2. Vstupní data on-premise '!$L$35,0)</f>
        <v>0</v>
      </c>
      <c r="I112" s="652">
        <f>IF(DelkaProjektu&gt;=I$29,'2. Vstupní data on-premise '!$L$34+'2. Vstupní data on-premise '!$L$35,0)</f>
        <v>0</v>
      </c>
      <c r="J112" s="657">
        <f t="shared" si="24"/>
        <v>0</v>
      </c>
      <c r="K112" s="604"/>
      <c r="L112" s="603" t="s">
        <v>475</v>
      </c>
      <c r="M112" s="607"/>
      <c r="N112" s="596" t="s">
        <v>483</v>
      </c>
      <c r="O112" s="610"/>
      <c r="P112" s="611"/>
      <c r="Q112" s="611"/>
      <c r="R112" s="611"/>
      <c r="S112" s="516"/>
      <c r="T112" s="486"/>
      <c r="U112" s="486"/>
      <c r="V112" s="486"/>
      <c r="W112" s="486"/>
      <c r="X112" s="486"/>
      <c r="Y112" s="486"/>
      <c r="Z112" s="486"/>
      <c r="AA112" s="486"/>
      <c r="AB112" s="486"/>
      <c r="AC112" s="486"/>
      <c r="AD112" s="486"/>
      <c r="AE112" s="486"/>
      <c r="AF112" s="486"/>
    </row>
    <row r="113" spans="1:32" ht="25.95" customHeight="1" x14ac:dyDescent="0.3">
      <c r="A113" s="594"/>
      <c r="B113" s="650" t="s">
        <v>277</v>
      </c>
      <c r="C113" s="672" t="s">
        <v>567</v>
      </c>
      <c r="D113" s="672" t="str">
        <f t="shared" si="18"/>
        <v>Kč</v>
      </c>
      <c r="E113" s="635">
        <f>IF(DelkaProjektu&gt;=E$29,'2. Vstupní data on-premise '!$L$146+'2. Vstupní data on-premise '!$L$147,0)</f>
        <v>0</v>
      </c>
      <c r="F113" s="652">
        <f>IF(DelkaProjektu&gt;=F$29,'2. Vstupní data on-premise '!$L$146+'2. Vstupní data on-premise '!$L$147,0)</f>
        <v>0</v>
      </c>
      <c r="G113" s="652">
        <f>IF(DelkaProjektu&gt;=G$29,'2. Vstupní data on-premise '!$L$146+'2. Vstupní data on-premise '!$L$147,0)</f>
        <v>0</v>
      </c>
      <c r="H113" s="652">
        <f>IF(DelkaProjektu&gt;=H$29,'2. Vstupní data on-premise '!$L$146+'2. Vstupní data on-premise '!$L$147,0)</f>
        <v>0</v>
      </c>
      <c r="I113" s="652">
        <f>IF(DelkaProjektu&gt;=I$29,'2. Vstupní data on-premise '!$L$146+'2. Vstupní data on-premise '!$L$147,0)</f>
        <v>0</v>
      </c>
      <c r="J113" s="657">
        <f t="shared" si="24"/>
        <v>0</v>
      </c>
      <c r="K113" s="132"/>
      <c r="L113" s="603" t="s">
        <v>475</v>
      </c>
      <c r="N113" s="596" t="s">
        <v>483</v>
      </c>
      <c r="O113" s="610"/>
      <c r="P113" s="611"/>
      <c r="Q113" s="611"/>
      <c r="R113" s="611"/>
      <c r="S113" s="516"/>
      <c r="T113" s="486"/>
      <c r="U113" s="486"/>
      <c r="V113" s="486"/>
      <c r="W113" s="486"/>
      <c r="X113" s="486"/>
      <c r="Y113" s="486"/>
      <c r="Z113" s="486"/>
      <c r="AA113" s="486"/>
      <c r="AB113" s="486"/>
      <c r="AC113" s="486"/>
      <c r="AD113" s="486"/>
      <c r="AE113" s="486"/>
      <c r="AF113" s="486"/>
    </row>
    <row r="114" spans="1:32" ht="25.95" customHeight="1" x14ac:dyDescent="0.3">
      <c r="A114" s="594"/>
      <c r="B114" s="650" t="s">
        <v>152</v>
      </c>
      <c r="C114" s="672" t="s">
        <v>568</v>
      </c>
      <c r="D114" s="672" t="str">
        <f t="shared" si="18"/>
        <v>Kč</v>
      </c>
      <c r="E114" s="652">
        <f>IF(DelkaProjektu&gt;=E$29,'2. Vstupní data on-premise '!$L$51+'2. Vstupní data on-premise '!$L$52,0)</f>
        <v>0</v>
      </c>
      <c r="F114" s="652">
        <f>IF(DelkaProjektu&gt;=F$29,'2. Vstupní data on-premise '!$L$51+'2. Vstupní data on-premise '!$L$52,0)</f>
        <v>0</v>
      </c>
      <c r="G114" s="652">
        <f>IF(DelkaProjektu&gt;=G$29,'2. Vstupní data on-premise '!$L$51+'2. Vstupní data on-premise '!$L$52,0)</f>
        <v>0</v>
      </c>
      <c r="H114" s="652">
        <f>IF(DelkaProjektu&gt;=H$29,'2. Vstupní data on-premise '!$L$51+'2. Vstupní data on-premise '!$L$52,0)</f>
        <v>0</v>
      </c>
      <c r="I114" s="652">
        <f>IF(DelkaProjektu&gt;=I$29,'2. Vstupní data on-premise '!$L$51+'2. Vstupní data on-premise '!$L$52,0)</f>
        <v>0</v>
      </c>
      <c r="J114" s="657">
        <f t="shared" si="24"/>
        <v>0</v>
      </c>
      <c r="K114" s="604"/>
      <c r="L114" s="603" t="s">
        <v>475</v>
      </c>
      <c r="M114" s="607"/>
      <c r="N114" s="596" t="s">
        <v>483</v>
      </c>
      <c r="O114" s="610"/>
      <c r="P114" s="611"/>
      <c r="Q114" s="611"/>
      <c r="R114" s="611"/>
      <c r="S114" s="516"/>
      <c r="T114" s="486"/>
      <c r="U114" s="486"/>
      <c r="V114" s="486"/>
      <c r="W114" s="486"/>
      <c r="X114" s="486"/>
      <c r="Y114" s="486"/>
      <c r="Z114" s="486"/>
      <c r="AA114" s="486"/>
      <c r="AB114" s="486"/>
      <c r="AC114" s="486"/>
      <c r="AD114" s="486"/>
      <c r="AE114" s="486"/>
      <c r="AF114" s="486"/>
    </row>
    <row r="115" spans="1:32" ht="25.95" customHeight="1" x14ac:dyDescent="0.3">
      <c r="A115" s="594"/>
      <c r="B115" s="650" t="s">
        <v>205</v>
      </c>
      <c r="C115" s="672" t="s">
        <v>204</v>
      </c>
      <c r="D115" s="672" t="str">
        <f t="shared" si="18"/>
        <v>Kč</v>
      </c>
      <c r="E115" s="652">
        <f>IF(DelkaProjektu&gt;=E$29,'2. Vstupní data on-premise '!$L$95+'2. Vstupní data on-premise '!$L$96,0)</f>
        <v>0</v>
      </c>
      <c r="F115" s="652">
        <f>IF(DelkaProjektu&gt;=F$29,'2. Vstupní data on-premise '!$L$95+'2. Vstupní data on-premise '!$L$96,0)</f>
        <v>0</v>
      </c>
      <c r="G115" s="652">
        <f>IF(DelkaProjektu&gt;=G$29,'2. Vstupní data on-premise '!$L$95+'2. Vstupní data on-premise '!$L$96,0)</f>
        <v>0</v>
      </c>
      <c r="H115" s="652">
        <f>IF(DelkaProjektu&gt;=H$29,'2. Vstupní data on-premise '!$L$95+'2. Vstupní data on-premise '!$L$96,0)</f>
        <v>0</v>
      </c>
      <c r="I115" s="652">
        <f>IF(DelkaProjektu&gt;=I$29,'2. Vstupní data on-premise '!$L$95+'2. Vstupní data on-premise '!$L$96,0)</f>
        <v>0</v>
      </c>
      <c r="J115" s="657">
        <f t="shared" si="24"/>
        <v>0</v>
      </c>
      <c r="K115" s="604"/>
      <c r="L115" s="603" t="s">
        <v>475</v>
      </c>
      <c r="M115" s="607"/>
      <c r="N115" s="596" t="s">
        <v>483</v>
      </c>
      <c r="O115" s="610"/>
      <c r="P115" s="611"/>
      <c r="Q115" s="611"/>
      <c r="R115" s="611"/>
      <c r="S115" s="516"/>
      <c r="T115" s="486"/>
      <c r="U115" s="486"/>
      <c r="V115" s="486"/>
      <c r="W115" s="486"/>
      <c r="X115" s="486"/>
      <c r="Y115" s="486"/>
      <c r="Z115" s="486"/>
      <c r="AA115" s="486"/>
      <c r="AB115" s="486"/>
      <c r="AC115" s="486"/>
      <c r="AD115" s="486"/>
      <c r="AE115" s="486"/>
      <c r="AF115" s="486"/>
    </row>
    <row r="116" spans="1:32" x14ac:dyDescent="0.3">
      <c r="B116" s="654" t="s">
        <v>569</v>
      </c>
      <c r="C116" s="655" t="s">
        <v>349</v>
      </c>
      <c r="D116" s="655" t="str">
        <f t="shared" si="18"/>
        <v>Kč</v>
      </c>
      <c r="E116" s="656">
        <f>SUM(E117:E120)</f>
        <v>0</v>
      </c>
      <c r="F116" s="656">
        <f t="shared" ref="F116:J116" si="25">SUM(F117:F120)</f>
        <v>0</v>
      </c>
      <c r="G116" s="656">
        <f t="shared" si="25"/>
        <v>0</v>
      </c>
      <c r="H116" s="656">
        <f t="shared" si="25"/>
        <v>0</v>
      </c>
      <c r="I116" s="656">
        <f t="shared" si="25"/>
        <v>0</v>
      </c>
      <c r="J116" s="656">
        <f t="shared" si="25"/>
        <v>0</v>
      </c>
      <c r="K116" s="132"/>
      <c r="L116" s="603" t="s">
        <v>475</v>
      </c>
      <c r="M116" s="606"/>
      <c r="N116" s="601" t="s">
        <v>570</v>
      </c>
      <c r="O116" s="608"/>
      <c r="P116" s="609"/>
      <c r="Q116" s="609"/>
      <c r="R116" s="609"/>
    </row>
    <row r="117" spans="1:32" x14ac:dyDescent="0.3">
      <c r="B117" s="633" t="s">
        <v>351</v>
      </c>
      <c r="C117" s="634" t="s">
        <v>350</v>
      </c>
      <c r="D117" s="634" t="str">
        <f t="shared" si="18"/>
        <v>Kč</v>
      </c>
      <c r="E117" s="652">
        <f>IF(AND('2. Vstupní data on-premise '!$D$220="NE",DelkaProjektu&gt;=E$29),('2. Vstupní data on-premise '!$L$211+'2. Vstupní data on-premise '!$L$212)/DelkaProjektu,IF(DelkaProjektu=E$29,'2. Vstupní data on-premise '!$L$212+'2. Vstupní data on-premise '!$L$211,0))</f>
        <v>0</v>
      </c>
      <c r="F117" s="652">
        <f>IF(AND('2. Vstupní data on-premise '!$D$220="NE",DelkaProjektu&gt;=F$29),('2. Vstupní data on-premise '!$L$211+'2. Vstupní data on-premise '!$L$212)/DelkaProjektu,IF(DelkaProjektu=F$29,'2. Vstupní data on-premise '!$L$212+'2. Vstupní data on-premise '!$L$211,0))</f>
        <v>0</v>
      </c>
      <c r="G117" s="652">
        <f>IF(AND('2. Vstupní data on-premise '!$D$220="NE",DelkaProjektu&gt;=G$29),('2. Vstupní data on-premise '!$L$211+'2. Vstupní data on-premise '!$L$212)/DelkaProjektu,IF(DelkaProjektu=G$29,'2. Vstupní data on-premise '!$L$212+'2. Vstupní data on-premise '!$L$211,0))</f>
        <v>0</v>
      </c>
      <c r="H117" s="652">
        <f>IF(AND('2. Vstupní data on-premise '!$D$220="NE",DelkaProjektu&gt;=H$29),('2. Vstupní data on-premise '!$L$211+'2. Vstupní data on-premise '!$L$212)/DelkaProjektu,IF(DelkaProjektu=H$29,'2. Vstupní data on-premise '!$L$212+'2. Vstupní data on-premise '!$L$211,0))</f>
        <v>0</v>
      </c>
      <c r="I117" s="652">
        <f>IF(AND('2. Vstupní data on-premise '!$D$220="NE",DelkaProjektu&gt;=I$29),('2. Vstupní data on-premise '!$L$211+'2. Vstupní data on-premise '!$L$212)/DelkaProjektu,IF(DelkaProjektu=I$29,'2. Vstupní data on-premise '!$L$212+'2. Vstupní data on-premise '!$L$211,0))</f>
        <v>0</v>
      </c>
      <c r="J117" s="657">
        <f t="shared" si="22"/>
        <v>0</v>
      </c>
      <c r="K117" s="132"/>
      <c r="L117" s="603" t="s">
        <v>475</v>
      </c>
      <c r="N117" s="606" t="s">
        <v>477</v>
      </c>
    </row>
    <row r="118" spans="1:32" x14ac:dyDescent="0.3">
      <c r="B118" s="633" t="s">
        <v>354</v>
      </c>
      <c r="C118" s="634" t="s">
        <v>353</v>
      </c>
      <c r="D118" s="634" t="str">
        <f t="shared" si="18"/>
        <v>Kč</v>
      </c>
      <c r="E118" s="652">
        <f>IF(AND('2. Vstupní data on-premise '!$D$220="NE",DelkaProjektu&gt;=E$29),('2. Vstupní data on-premise '!$L$213+'2. Vstupní data on-premise '!$L$214)/DelkaProjektu,IF(DelkaProjektu=E$29,'2. Vstupní data on-premise '!$L$213+'2. Vstupní data on-premise '!$L$214,0))</f>
        <v>0</v>
      </c>
      <c r="F118" s="652">
        <f>IF(AND('2. Vstupní data on-premise '!$D$220="NE",DelkaProjektu&gt;=F$29),('2. Vstupní data on-premise '!$L$213+'2. Vstupní data on-premise '!$L$214)/DelkaProjektu,IF(DelkaProjektu=F$29,'2. Vstupní data on-premise '!$L$213+'2. Vstupní data on-premise '!$L$214,0))</f>
        <v>0</v>
      </c>
      <c r="G118" s="652">
        <f>IF(AND('2. Vstupní data on-premise '!$D$220="NE",DelkaProjektu&gt;=G$29),('2. Vstupní data on-premise '!$L$213+'2. Vstupní data on-premise '!$L$214)/DelkaProjektu,IF(DelkaProjektu=G$29,'2. Vstupní data on-premise '!$L$213+'2. Vstupní data on-premise '!$L$214,0))</f>
        <v>0</v>
      </c>
      <c r="H118" s="652">
        <f>IF(AND('2. Vstupní data on-premise '!$D$220="NE",DelkaProjektu&gt;=H$29),('2. Vstupní data on-premise '!$L$213+'2. Vstupní data on-premise '!$L$214)/DelkaProjektu,IF(DelkaProjektu=H$29,'2. Vstupní data on-premise '!$L$213+'2. Vstupní data on-premise '!$L$214,0))</f>
        <v>0</v>
      </c>
      <c r="I118" s="652">
        <f>IF(AND('2. Vstupní data on-premise '!$D$220="NE",DelkaProjektu&gt;=I$29),('2. Vstupní data on-premise '!$L$213+'2. Vstupní data on-premise '!$L$214)/DelkaProjektu,IF(DelkaProjektu=I$29,'2. Vstupní data on-premise '!$L$213+'2. Vstupní data on-premise '!$L$214,0))</f>
        <v>0</v>
      </c>
      <c r="J118" s="657">
        <f t="shared" si="22"/>
        <v>0</v>
      </c>
      <c r="K118" s="132"/>
      <c r="L118" s="603" t="s">
        <v>475</v>
      </c>
      <c r="N118" s="606" t="s">
        <v>477</v>
      </c>
    </row>
    <row r="119" spans="1:32" x14ac:dyDescent="0.3">
      <c r="B119" s="633" t="s">
        <v>356</v>
      </c>
      <c r="C119" s="634" t="s">
        <v>355</v>
      </c>
      <c r="D119" s="634" t="str">
        <f t="shared" si="18"/>
        <v>Kč</v>
      </c>
      <c r="E119" s="652">
        <f>IF(AND('2. Vstupní data on-premise '!$D$220="NE",DelkaProjektu&gt;=E$29),('2. Vstupní data on-premise '!$L$215+'2. Vstupní data on-premise '!$L$216)/DelkaProjektu,IF(DelkaProjektu=E$29,'2. Vstupní data on-premise '!$L$215+'2. Vstupní data on-premise '!$L$216,0))</f>
        <v>0</v>
      </c>
      <c r="F119" s="652">
        <f>IF(AND('2. Vstupní data on-premise '!$D$220="NE",DelkaProjektu&gt;=F$29),('2. Vstupní data on-premise '!$L$215+'2. Vstupní data on-premise '!$L$216)/DelkaProjektu,IF(DelkaProjektu=F$29,'2. Vstupní data on-premise '!$L$215+'2. Vstupní data on-premise '!$L$216,0))</f>
        <v>0</v>
      </c>
      <c r="G119" s="652">
        <f>IF(AND('2. Vstupní data on-premise '!$D$220="NE",DelkaProjektu&gt;=G$29),('2. Vstupní data on-premise '!$L$215+'2. Vstupní data on-premise '!$L$216)/DelkaProjektu,IF(DelkaProjektu=G$29,'2. Vstupní data on-premise '!$L$215+'2. Vstupní data on-premise '!$L$216,0))</f>
        <v>0</v>
      </c>
      <c r="H119" s="652">
        <f>IF(AND('2. Vstupní data on-premise '!$D$220="NE",DelkaProjektu&gt;=H$29),('2. Vstupní data on-premise '!$L$215+'2. Vstupní data on-premise '!$L$216)/DelkaProjektu,IF(DelkaProjektu=H$29,'2. Vstupní data on-premise '!$L$215+'2. Vstupní data on-premise '!$L$216,0))</f>
        <v>0</v>
      </c>
      <c r="I119" s="652">
        <f>IF(AND('2. Vstupní data on-premise '!$D$220="NE",DelkaProjektu&gt;=I$29),('2. Vstupní data on-premise '!$L$215+'2. Vstupní data on-premise '!$L$216)/DelkaProjektu,IF(DelkaProjektu=I$29,'2. Vstupní data on-premise '!$L$215+'2. Vstupní data on-premise '!$L$216,0))</f>
        <v>0</v>
      </c>
      <c r="J119" s="657">
        <f t="shared" si="22"/>
        <v>0</v>
      </c>
      <c r="K119" s="132"/>
      <c r="L119" s="603" t="s">
        <v>475</v>
      </c>
      <c r="N119" s="596" t="s">
        <v>477</v>
      </c>
    </row>
    <row r="120" spans="1:32" x14ac:dyDescent="0.3">
      <c r="B120" s="633" t="s">
        <v>358</v>
      </c>
      <c r="C120" s="634" t="s">
        <v>357</v>
      </c>
      <c r="D120" s="634" t="str">
        <f t="shared" si="18"/>
        <v>Kč</v>
      </c>
      <c r="E120" s="652">
        <f>IF(AND('2. Vstupní data on-premise '!$D$220="NE",DelkaProjektu&gt;=E$29),('2. Vstupní data on-premise '!$L$217+'2. Vstupní data on-premise '!$L$218)/DelkaProjektu,IF(DelkaProjektu=E$29,'2. Vstupní data on-premise '!$L$217+'2. Vstupní data on-premise '!$L$218,0))</f>
        <v>0</v>
      </c>
      <c r="F120" s="652">
        <f>IF(AND('2. Vstupní data on-premise '!$D$220="NE",DelkaProjektu&gt;=F$29),('2. Vstupní data on-premise '!$L$217+'2. Vstupní data on-premise '!$L$218)/DelkaProjektu,IF(DelkaProjektu=F$29,'2. Vstupní data on-premise '!$L$217+'2. Vstupní data on-premise '!$L$218,0))</f>
        <v>0</v>
      </c>
      <c r="G120" s="652">
        <f>IF(AND('2. Vstupní data on-premise '!$D$220="NE",DelkaProjektu&gt;=G$29),('2. Vstupní data on-premise '!$L$217+'2. Vstupní data on-premise '!$L$218)/DelkaProjektu,IF(DelkaProjektu=G$29,'2. Vstupní data on-premise '!$L$217+'2. Vstupní data on-premise '!$L$218,0))</f>
        <v>0</v>
      </c>
      <c r="H120" s="652">
        <f>IF(AND('2. Vstupní data on-premise '!$D$220="NE",DelkaProjektu&gt;=H$29),('2. Vstupní data on-premise '!$L$217+'2. Vstupní data on-premise '!$L$218)/DelkaProjektu,IF(DelkaProjektu=H$29,'2. Vstupní data on-premise '!$L$217+'2. Vstupní data on-premise '!$L$218,0))</f>
        <v>0</v>
      </c>
      <c r="I120" s="652">
        <f>IF(AND('2. Vstupní data on-premise '!$D$220="NE",DelkaProjektu&gt;=I$29),('2. Vstupní data on-premise '!$L$217+'2. Vstupní data on-premise '!$L$218)/DelkaProjektu,IF(DelkaProjektu=I$29,'2. Vstupní data on-premise '!$L$217+'2. Vstupní data on-premise '!$L$218,0))</f>
        <v>0</v>
      </c>
      <c r="J120" s="657">
        <f t="shared" si="22"/>
        <v>0</v>
      </c>
      <c r="K120" s="132"/>
      <c r="L120" s="603" t="s">
        <v>475</v>
      </c>
      <c r="N120" s="596" t="s">
        <v>571</v>
      </c>
      <c r="O120" s="596" t="s">
        <v>478</v>
      </c>
    </row>
    <row r="121" spans="1:32" x14ac:dyDescent="0.3">
      <c r="B121" s="654" t="s">
        <v>572</v>
      </c>
      <c r="C121" s="655" t="s">
        <v>360</v>
      </c>
      <c r="D121" s="655" t="str">
        <f t="shared" si="18"/>
        <v>Kč</v>
      </c>
      <c r="E121" s="656">
        <f>SUM(E122:E125)</f>
        <v>0</v>
      </c>
      <c r="F121" s="656">
        <f t="shared" ref="F121:J121" si="26">SUM(F122:F125)</f>
        <v>0</v>
      </c>
      <c r="G121" s="656">
        <f t="shared" si="26"/>
        <v>0</v>
      </c>
      <c r="H121" s="656">
        <f t="shared" si="26"/>
        <v>0</v>
      </c>
      <c r="I121" s="656">
        <f t="shared" si="26"/>
        <v>0</v>
      </c>
      <c r="J121" s="656">
        <f t="shared" si="26"/>
        <v>0</v>
      </c>
      <c r="K121" s="132"/>
      <c r="L121" s="603" t="s">
        <v>475</v>
      </c>
      <c r="M121" s="601"/>
      <c r="N121" s="601" t="s">
        <v>570</v>
      </c>
    </row>
    <row r="122" spans="1:32" x14ac:dyDescent="0.3">
      <c r="B122" s="633" t="s">
        <v>362</v>
      </c>
      <c r="C122" s="634" t="s">
        <v>361</v>
      </c>
      <c r="D122" s="634" t="str">
        <f t="shared" si="18"/>
        <v>Kč</v>
      </c>
      <c r="E122" s="635">
        <f>IF(AND('2. Vstupní data on-premise '!$D$232="NE",DelkaProjektu&gt;=E$29),('2. Vstupní data on-premise '!$L$223+'2. Vstupní data on-premise '!$L$224)/DelkaProjektu,IF(DelkaProjektu=E$29,'2. Vstupní data on-premise '!$L$223+'2. Vstupní data on-premise '!$L$224,0))</f>
        <v>0</v>
      </c>
      <c r="F122" s="635">
        <f>IF(AND('2. Vstupní data on-premise '!$D$232="NE",DelkaProjektu&gt;=F$29),('2. Vstupní data on-premise '!$L$223+'2. Vstupní data on-premise '!$L$224)/DelkaProjektu,IF(DelkaProjektu=F$29,'2. Vstupní data on-premise '!$L$223+'2. Vstupní data on-premise '!$L$224,0))</f>
        <v>0</v>
      </c>
      <c r="G122" s="635">
        <f>IF(AND('2. Vstupní data on-premise '!$D$232="NE",DelkaProjektu&gt;=G$29),('2. Vstupní data on-premise '!$L$223+'2. Vstupní data on-premise '!$L$224)/DelkaProjektu,IF(DelkaProjektu=G$29,'2. Vstupní data on-premise '!$L$223+'2. Vstupní data on-premise '!$L$224,0))</f>
        <v>0</v>
      </c>
      <c r="H122" s="635">
        <f>IF(AND('2. Vstupní data on-premise '!$D$232="NE",DelkaProjektu&gt;=H$29),('2. Vstupní data on-premise '!$L$223+'2. Vstupní data on-premise '!$L$224)/DelkaProjektu,IF(DelkaProjektu=H$29,'2. Vstupní data on-premise '!$L$223+'2. Vstupní data on-premise '!$L$224,0))</f>
        <v>0</v>
      </c>
      <c r="I122" s="635">
        <f>IF(AND('2. Vstupní data on-premise '!$D$232="NE",DelkaProjektu&gt;=I$29),('2. Vstupní data on-premise '!$L$223+'2. Vstupní data on-premise '!$L$224)/DelkaProjektu,IF(DelkaProjektu=I$29,'2. Vstupní data on-premise '!$L$223+'2. Vstupní data on-premise '!$L$224,0))</f>
        <v>0</v>
      </c>
      <c r="J122" s="657">
        <f t="shared" si="22"/>
        <v>0</v>
      </c>
      <c r="K122" s="132"/>
      <c r="L122" s="603" t="s">
        <v>475</v>
      </c>
      <c r="N122" s="596" t="s">
        <v>477</v>
      </c>
    </row>
    <row r="123" spans="1:32" x14ac:dyDescent="0.3">
      <c r="B123" s="633" t="s">
        <v>364</v>
      </c>
      <c r="C123" s="634" t="s">
        <v>363</v>
      </c>
      <c r="D123" s="634" t="str">
        <f t="shared" si="18"/>
        <v>Kč</v>
      </c>
      <c r="E123" s="635">
        <f>IF(AND('2. Vstupní data on-premise '!$D$232="NE",DelkaProjektu&gt;=E$29),('2. Vstupní data on-premise '!$L$225+'2. Vstupní data on-premise '!$L$226)/DelkaProjektu,IF(DelkaProjektu=E$29,'2. Vstupní data on-premise '!$L$225+'2. Vstupní data on-premise '!$L$226,0))</f>
        <v>0</v>
      </c>
      <c r="F123" s="635">
        <f>IF(AND('2. Vstupní data on-premise '!$D$232="NE",DelkaProjektu&gt;=F$29),('2. Vstupní data on-premise '!$L$225+'2. Vstupní data on-premise '!$L$226)/DelkaProjektu,IF(DelkaProjektu=F$29,'2. Vstupní data on-premise '!$L$225+'2. Vstupní data on-premise '!$L$226,0))</f>
        <v>0</v>
      </c>
      <c r="G123" s="635">
        <f>IF(AND('2. Vstupní data on-premise '!$D$232="NE",DelkaProjektu&gt;=G$29),('2. Vstupní data on-premise '!$L$225+'2. Vstupní data on-premise '!$L$226)/DelkaProjektu,IF(DelkaProjektu=G$29,'2. Vstupní data on-premise '!$L$225+'2. Vstupní data on-premise '!$L$226,0))</f>
        <v>0</v>
      </c>
      <c r="H123" s="635">
        <f>IF(AND('2. Vstupní data on-premise '!$D$232="NE",DelkaProjektu&gt;=H$29),('2. Vstupní data on-premise '!$L$225+'2. Vstupní data on-premise '!$L$226)/DelkaProjektu,IF(DelkaProjektu=H$29,'2. Vstupní data on-premise '!$L$225+'2. Vstupní data on-premise '!$L$226,0))</f>
        <v>0</v>
      </c>
      <c r="I123" s="635">
        <f>IF(AND('2. Vstupní data on-premise '!$D$232="NE",DelkaProjektu&gt;=I$29),('2. Vstupní data on-premise '!$L$225+'2. Vstupní data on-premise '!$L$226)/DelkaProjektu,IF(DelkaProjektu=I$29,'2. Vstupní data on-premise '!$L$225+'2. Vstupní data on-premise '!$L$226,0))</f>
        <v>0</v>
      </c>
      <c r="J123" s="657">
        <f t="shared" si="22"/>
        <v>0</v>
      </c>
      <c r="K123" s="132"/>
      <c r="L123" s="603" t="s">
        <v>475</v>
      </c>
      <c r="N123" s="596" t="s">
        <v>483</v>
      </c>
    </row>
    <row r="124" spans="1:32" x14ac:dyDescent="0.3">
      <c r="B124" s="633" t="s">
        <v>366</v>
      </c>
      <c r="C124" s="634" t="s">
        <v>365</v>
      </c>
      <c r="D124" s="634" t="str">
        <f t="shared" si="18"/>
        <v>Kč</v>
      </c>
      <c r="E124" s="635">
        <f>IF(AND('2. Vstupní data on-premise '!$D$232="NE",DelkaProjektu&gt;=E$29),('2. Vstupní data on-premise '!$L$227+'2. Vstupní data on-premise '!$L$228)/DelkaProjektu,IF(DelkaProjektu=E$29,'2. Vstupní data on-premise '!$L$227+'2. Vstupní data on-premise '!$L$228,0))</f>
        <v>0</v>
      </c>
      <c r="F124" s="635">
        <f>IF(AND('2. Vstupní data on-premise '!$D$232="NE",DelkaProjektu&gt;=F$29),('2. Vstupní data on-premise '!$L$227+'2. Vstupní data on-premise '!$L$228)/DelkaProjektu,IF(DelkaProjektu=F$29,'2. Vstupní data on-premise '!$L$227+'2. Vstupní data on-premise '!$L$228,0))</f>
        <v>0</v>
      </c>
      <c r="G124" s="635">
        <f>IF(AND('2. Vstupní data on-premise '!$D$232="NE",DelkaProjektu&gt;=G$29),('2. Vstupní data on-premise '!$L$227+'2. Vstupní data on-premise '!$L$228)/DelkaProjektu,IF(DelkaProjektu=G$29,'2. Vstupní data on-premise '!$L$227+'2. Vstupní data on-premise '!$L$228,0))</f>
        <v>0</v>
      </c>
      <c r="H124" s="635">
        <f>IF(AND('2. Vstupní data on-premise '!$D$232="NE",DelkaProjektu&gt;=H$29),('2. Vstupní data on-premise '!$L$227+'2. Vstupní data on-premise '!$L$228)/DelkaProjektu,IF(DelkaProjektu=H$29,'2. Vstupní data on-premise '!$L$227+'2. Vstupní data on-premise '!$L$228,0))</f>
        <v>0</v>
      </c>
      <c r="I124" s="635">
        <f>IF(AND('2. Vstupní data on-premise '!$D$232="NE",DelkaProjektu&gt;=I$29),('2. Vstupní data on-premise '!$L$227+'2. Vstupní data on-premise '!$L$228)/DelkaProjektu,IF(DelkaProjektu=I$29,'2. Vstupní data on-premise '!$L$227+'2. Vstupní data on-premise '!$L$228,0))</f>
        <v>0</v>
      </c>
      <c r="J124" s="657">
        <f t="shared" si="22"/>
        <v>0</v>
      </c>
      <c r="K124" s="132"/>
      <c r="L124" s="603" t="s">
        <v>475</v>
      </c>
      <c r="N124" s="596" t="s">
        <v>483</v>
      </c>
    </row>
    <row r="125" spans="1:32" x14ac:dyDescent="0.3">
      <c r="B125" s="633" t="s">
        <v>368</v>
      </c>
      <c r="C125" s="634" t="s">
        <v>573</v>
      </c>
      <c r="D125" s="634" t="str">
        <f t="shared" si="18"/>
        <v>Kč</v>
      </c>
      <c r="E125" s="635">
        <f>IF(AND('2. Vstupní data on-premise '!$D$232="NE",DelkaProjektu&gt;=E$29),('2. Vstupní data on-premise '!$L$229+'2. Vstupní data on-premise '!$L$230)/DelkaProjektu,IF(DelkaProjektu=E$29,'2. Vstupní data on-premise '!$L$229+'2. Vstupní data on-premise '!$L$230,0))</f>
        <v>0</v>
      </c>
      <c r="F125" s="635">
        <f>IF(AND('2. Vstupní data on-premise '!$D$232="NE",DelkaProjektu&gt;=F$29),('2. Vstupní data on-premise '!$L$229+'2. Vstupní data on-premise '!$L$230)/DelkaProjektu,IF(DelkaProjektu=F$29,'2. Vstupní data on-premise '!$L$229+'2. Vstupní data on-premise '!$L$230,0))</f>
        <v>0</v>
      </c>
      <c r="G125" s="635">
        <f>IF(AND('2. Vstupní data on-premise '!$D$232="NE",DelkaProjektu&gt;=G$29),('2. Vstupní data on-premise '!$L$229+'2. Vstupní data on-premise '!$L$230)/DelkaProjektu,IF(DelkaProjektu=G$29,'2. Vstupní data on-premise '!$L$229+'2. Vstupní data on-premise '!$L$230,0))</f>
        <v>0</v>
      </c>
      <c r="H125" s="635">
        <f>IF(AND('2. Vstupní data on-premise '!$D$232="NE",DelkaProjektu&gt;=H$29),('2. Vstupní data on-premise '!$L$229+'2. Vstupní data on-premise '!$L$230)/DelkaProjektu,IF(DelkaProjektu=H$29,'2. Vstupní data on-premise '!$L$229+'2. Vstupní data on-premise '!$L$230,0))</f>
        <v>0</v>
      </c>
      <c r="I125" s="635">
        <f>IF(AND('2. Vstupní data on-premise '!$D$232="NE",DelkaProjektu&gt;=I$29),('2. Vstupní data on-premise '!$L$229+'2. Vstupní data on-premise '!$L$230)/DelkaProjektu,IF(DelkaProjektu=I$29,'2. Vstupní data on-premise '!$L$229+'2. Vstupní data on-premise '!$L$230,0))</f>
        <v>0</v>
      </c>
      <c r="J125" s="657">
        <f t="shared" si="22"/>
        <v>0</v>
      </c>
      <c r="K125" s="132"/>
      <c r="L125" s="603" t="s">
        <v>475</v>
      </c>
      <c r="N125" s="596" t="s">
        <v>483</v>
      </c>
    </row>
    <row r="126" spans="1:32" x14ac:dyDescent="0.3">
      <c r="B126" s="654" t="s">
        <v>574</v>
      </c>
      <c r="C126" s="655" t="s">
        <v>369</v>
      </c>
      <c r="D126" s="655" t="str">
        <f t="shared" ref="D126:D140" si="27">JenotkaMěny</f>
        <v>Kč</v>
      </c>
      <c r="E126" s="656">
        <f>E127+E130</f>
        <v>0</v>
      </c>
      <c r="F126" s="656">
        <f>F127+F130</f>
        <v>0</v>
      </c>
      <c r="G126" s="656">
        <f>G127+G130</f>
        <v>0</v>
      </c>
      <c r="H126" s="656">
        <f>H127+H130</f>
        <v>0</v>
      </c>
      <c r="I126" s="656">
        <f>I127+I130</f>
        <v>0</v>
      </c>
      <c r="J126" s="656">
        <f>SUM(E126:I126)</f>
        <v>0</v>
      </c>
      <c r="K126" s="132"/>
      <c r="L126" s="603" t="s">
        <v>475</v>
      </c>
      <c r="M126" s="606"/>
      <c r="N126" s="606" t="s">
        <v>575</v>
      </c>
    </row>
    <row r="127" spans="1:32" x14ac:dyDescent="0.3">
      <c r="B127" s="633" t="s">
        <v>576</v>
      </c>
      <c r="C127" s="634" t="s">
        <v>577</v>
      </c>
      <c r="D127" s="634" t="str">
        <f t="shared" si="27"/>
        <v>Kč</v>
      </c>
      <c r="E127" s="635">
        <f>SUM(E128:E129)</f>
        <v>0</v>
      </c>
      <c r="F127" s="652">
        <f>SUM(F128:F129)</f>
        <v>0</v>
      </c>
      <c r="G127" s="652">
        <f>SUM(G128:G129)</f>
        <v>0</v>
      </c>
      <c r="H127" s="652">
        <f>SUM(H128:H129)</f>
        <v>0</v>
      </c>
      <c r="I127" s="652">
        <f>SUM(I128:I129)</f>
        <v>0</v>
      </c>
      <c r="J127" s="657">
        <f t="shared" si="22"/>
        <v>0</v>
      </c>
      <c r="K127" s="132"/>
      <c r="L127" s="603" t="s">
        <v>475</v>
      </c>
      <c r="N127" s="596" t="s">
        <v>477</v>
      </c>
    </row>
    <row r="128" spans="1:32" outlineLevel="1" x14ac:dyDescent="0.3">
      <c r="B128" s="667" t="s">
        <v>578</v>
      </c>
      <c r="C128" s="673"/>
      <c r="D128" s="673" t="str">
        <f t="shared" si="27"/>
        <v>Kč</v>
      </c>
      <c r="E128" s="674">
        <f>IF(DelkaProjektu&gt;=E$29,'2. Vstupní data on-premise '!$L$235+'2. Vstupní data on-premise '!$L$236,0)</f>
        <v>0</v>
      </c>
      <c r="F128" s="674">
        <f>IF(DelkaProjektu&gt;=F$29,'2. Vstupní data on-premise '!$L$235+'2. Vstupní data on-premise '!$L$236,0)</f>
        <v>0</v>
      </c>
      <c r="G128" s="674">
        <f>IF(DelkaProjektu&gt;=G$29,'2. Vstupní data on-premise '!$L$235+'2. Vstupní data on-premise '!$L$236,0)</f>
        <v>0</v>
      </c>
      <c r="H128" s="674">
        <f>IF(DelkaProjektu&gt;=H$29,'2. Vstupní data on-premise '!$L$235+'2. Vstupní data on-premise '!$L$236,0)</f>
        <v>0</v>
      </c>
      <c r="I128" s="674">
        <f>IF(DelkaProjektu&gt;=I$29,'2. Vstupní data on-premise '!$L$235+'2. Vstupní data on-premise '!$L$236,0)</f>
        <v>0</v>
      </c>
      <c r="J128" s="670">
        <f>SUM(E128:I128)</f>
        <v>0</v>
      </c>
      <c r="K128" s="132"/>
      <c r="L128" s="603" t="s">
        <v>475</v>
      </c>
      <c r="N128" s="596" t="s">
        <v>477</v>
      </c>
    </row>
    <row r="129" spans="2:14" outlineLevel="1" x14ac:dyDescent="0.3">
      <c r="B129" s="667" t="s">
        <v>374</v>
      </c>
      <c r="C129" s="673" t="s">
        <v>579</v>
      </c>
      <c r="D129" s="673" t="str">
        <f t="shared" si="27"/>
        <v>Kč</v>
      </c>
      <c r="E129" s="674">
        <f>IF(DelkaProjektu&gt;=E$29,'2. Vstupní data on-premise '!$L$237+'2. Vstupní data on-premise '!$L$238,0)</f>
        <v>0</v>
      </c>
      <c r="F129" s="674">
        <f>IF(DelkaProjektu&gt;=F$29,'2. Vstupní data on-premise '!$L$237+'2. Vstupní data on-premise '!$L$238,0)</f>
        <v>0</v>
      </c>
      <c r="G129" s="674">
        <f>IF(DelkaProjektu&gt;=G$29,'2. Vstupní data on-premise '!$L$237+'2. Vstupní data on-premise '!$L$238,0)</f>
        <v>0</v>
      </c>
      <c r="H129" s="674">
        <f>IF(DelkaProjektu&gt;=H$29,'2. Vstupní data on-premise '!$L$237+'2. Vstupní data on-premise '!$L$238,0)</f>
        <v>0</v>
      </c>
      <c r="I129" s="674">
        <f>IF(DelkaProjektu&gt;=I$29,'2. Vstupní data on-premise '!$L$237+'2. Vstupní data on-premise '!$L$238,0)</f>
        <v>0</v>
      </c>
      <c r="J129" s="670">
        <f>SUM(E129:I129)</f>
        <v>0</v>
      </c>
      <c r="K129" s="132"/>
      <c r="L129" s="603" t="s">
        <v>475</v>
      </c>
      <c r="N129" s="596" t="s">
        <v>477</v>
      </c>
    </row>
    <row r="130" spans="2:14" x14ac:dyDescent="0.3">
      <c r="B130" s="633" t="s">
        <v>377</v>
      </c>
      <c r="C130" s="634" t="s">
        <v>378</v>
      </c>
      <c r="D130" s="634" t="str">
        <f t="shared" si="27"/>
        <v>Kč</v>
      </c>
      <c r="E130" s="652">
        <f>IF(DelkaProjektu&gt;=E$29,'2. Vstupní data on-premise '!$L$239+'2. Vstupní data on-premise '!$L$240,0)</f>
        <v>0</v>
      </c>
      <c r="F130" s="652">
        <f>IF(DelkaProjektu&gt;=F$29,'2. Vstupní data on-premise '!$L$239+'2. Vstupní data on-premise '!$L$240,0)</f>
        <v>0</v>
      </c>
      <c r="G130" s="652">
        <f>IF(DelkaProjektu&gt;=G$29,'2. Vstupní data on-premise '!$L$239+'2. Vstupní data on-premise '!$L$240,0)</f>
        <v>0</v>
      </c>
      <c r="H130" s="652">
        <f>IF(DelkaProjektu&gt;=H$29,'2. Vstupní data on-premise '!$L$239+'2. Vstupní data on-premise '!$L$240,0)</f>
        <v>0</v>
      </c>
      <c r="I130" s="652">
        <f>IF(DelkaProjektu&gt;=I$29,'2. Vstupní data on-premise '!$L$239+'2. Vstupní data on-premise '!$L$240,0)</f>
        <v>0</v>
      </c>
      <c r="J130" s="657">
        <f t="shared" si="22"/>
        <v>0</v>
      </c>
      <c r="K130" s="132"/>
      <c r="L130" s="603" t="s">
        <v>475</v>
      </c>
      <c r="N130" s="596" t="s">
        <v>477</v>
      </c>
    </row>
    <row r="131" spans="2:14" x14ac:dyDescent="0.3">
      <c r="B131" s="654" t="s">
        <v>580</v>
      </c>
      <c r="C131" s="655" t="s">
        <v>379</v>
      </c>
      <c r="D131" s="655" t="str">
        <f t="shared" si="27"/>
        <v>Kč</v>
      </c>
      <c r="E131" s="656">
        <f>SUM(E132:E134)</f>
        <v>0</v>
      </c>
      <c r="F131" s="656">
        <f t="shared" ref="F131:J131" si="28">SUM(F132:F134)</f>
        <v>0</v>
      </c>
      <c r="G131" s="656">
        <f t="shared" si="28"/>
        <v>0</v>
      </c>
      <c r="H131" s="656">
        <f t="shared" si="28"/>
        <v>0</v>
      </c>
      <c r="I131" s="656">
        <f t="shared" si="28"/>
        <v>0</v>
      </c>
      <c r="J131" s="656">
        <f t="shared" si="28"/>
        <v>0</v>
      </c>
      <c r="K131" s="132"/>
      <c r="L131" s="603" t="s">
        <v>475</v>
      </c>
      <c r="M131" s="517"/>
      <c r="N131" s="606" t="s">
        <v>570</v>
      </c>
    </row>
    <row r="132" spans="2:14" x14ac:dyDescent="0.3">
      <c r="B132" s="633" t="s">
        <v>381</v>
      </c>
      <c r="C132" s="634" t="s">
        <v>380</v>
      </c>
      <c r="D132" s="634" t="str">
        <f t="shared" si="27"/>
        <v>Kč</v>
      </c>
      <c r="E132" s="635">
        <f>IF(AND('2. Vstupní data on-premise '!$D$251="NE",DelkaProjektu&gt;=E$29),('2. Vstupní data on-premise '!$L$244+'2. Vstupní data on-premise '!$L$245)/DelkaProjektu,IF(DelkaProjektu=E$29,'2. Vstupní data on-premise '!$L$244+'2. Vstupní data on-premise '!$L$245,0))</f>
        <v>0</v>
      </c>
      <c r="F132" s="635">
        <f>IF(AND('2. Vstupní data on-premise '!$D$251="NE",DelkaProjektu&gt;=F$29),('2. Vstupní data on-premise '!$L$244+'2. Vstupní data on-premise '!$L$245)/DelkaProjektu,IF(DelkaProjektu=F$29,'2. Vstupní data on-premise '!$L$244+'2. Vstupní data on-premise '!$L$245,0))</f>
        <v>0</v>
      </c>
      <c r="G132" s="635">
        <f>IF(AND('2. Vstupní data on-premise '!$D$251="NE",DelkaProjektu&gt;=G$29),('2. Vstupní data on-premise '!$L$244+'2. Vstupní data on-premise '!$L$245)/DelkaProjektu,IF(DelkaProjektu=G$29,'2. Vstupní data on-premise '!$L$244+'2. Vstupní data on-premise '!$L$245,0))</f>
        <v>0</v>
      </c>
      <c r="H132" s="635">
        <f>IF(AND('2. Vstupní data on-premise '!$D$251="NE",DelkaProjektu&gt;=H$29),('2. Vstupní data on-premise '!$L$244+'2. Vstupní data on-premise '!$L$245)/DelkaProjektu,IF(DelkaProjektu=H$29,'2. Vstupní data on-premise '!$L$244+'2. Vstupní data on-premise '!$L$245,0))</f>
        <v>0</v>
      </c>
      <c r="I132" s="635">
        <f>IF(AND('2. Vstupní data on-premise '!$D$251="NE",DelkaProjektu&gt;=I$29),('2. Vstupní data on-premise '!$L$244+'2. Vstupní data on-premise '!$L$245)/DelkaProjektu,IF(DelkaProjektu=I$29,'2. Vstupní data on-premise '!$L$244+'2. Vstupní data on-premise '!$L$245,0))</f>
        <v>0</v>
      </c>
      <c r="J132" s="657">
        <f t="shared" si="22"/>
        <v>0</v>
      </c>
      <c r="K132" s="132"/>
      <c r="L132" s="603" t="s">
        <v>475</v>
      </c>
      <c r="N132" s="596" t="s">
        <v>477</v>
      </c>
    </row>
    <row r="133" spans="2:14" x14ac:dyDescent="0.3">
      <c r="B133" s="633" t="s">
        <v>383</v>
      </c>
      <c r="C133" s="634" t="s">
        <v>382</v>
      </c>
      <c r="D133" s="634" t="str">
        <f t="shared" si="27"/>
        <v>Kč</v>
      </c>
      <c r="E133" s="635">
        <f>IF(AND('2. Vstupní data on-premise '!$D$251="NE",DelkaProjektu&gt;=E$29),('2. Vstupní data on-premise '!$L$246+'2. Vstupní data on-premise '!$L$247)/DelkaProjektu,IF(DelkaProjektu=E$29,'2. Vstupní data on-premise '!$L$246+'2. Vstupní data on-premise '!$L$247,0))</f>
        <v>0</v>
      </c>
      <c r="F133" s="635">
        <f>IF(AND('2. Vstupní data on-premise '!$D$251="NE",DelkaProjektu&gt;=F$29),('2. Vstupní data on-premise '!$L$246+'2. Vstupní data on-premise '!$L$247)/DelkaProjektu,IF(DelkaProjektu=F$29,'2. Vstupní data on-premise '!$L$246+'2. Vstupní data on-premise '!$L$247,0))</f>
        <v>0</v>
      </c>
      <c r="G133" s="635">
        <f>IF(AND('2. Vstupní data on-premise '!$D$251="NE",DelkaProjektu&gt;=G$29),('2. Vstupní data on-premise '!$L$246+'2. Vstupní data on-premise '!$L$247)/DelkaProjektu,IF(DelkaProjektu=G$29,'2. Vstupní data on-premise '!$L$246+'2. Vstupní data on-premise '!$L$247,0))</f>
        <v>0</v>
      </c>
      <c r="H133" s="635">
        <f>IF(AND('2. Vstupní data on-premise '!$D$251="NE",DelkaProjektu&gt;=H$29),('2. Vstupní data on-premise '!$L$246+'2. Vstupní data on-premise '!$L$247)/DelkaProjektu,IF(DelkaProjektu=H$29,'2. Vstupní data on-premise '!$L$246+'2. Vstupní data on-premise '!$L$247,0))</f>
        <v>0</v>
      </c>
      <c r="I133" s="635">
        <f>IF(AND('2. Vstupní data on-premise '!$D$251="NE",DelkaProjektu&gt;=I$29),('2. Vstupní data on-premise '!$L$246+'2. Vstupní data on-premise '!$L$247)/DelkaProjektu,IF(DelkaProjektu=I$29,'2. Vstupní data on-premise '!$L$246+'2. Vstupní data on-premise '!$L$247,0))</f>
        <v>0</v>
      </c>
      <c r="J133" s="657">
        <f t="shared" si="22"/>
        <v>0</v>
      </c>
      <c r="K133" s="132"/>
      <c r="L133" s="603" t="s">
        <v>475</v>
      </c>
      <c r="N133" s="596" t="s">
        <v>477</v>
      </c>
    </row>
    <row r="134" spans="2:14" x14ac:dyDescent="0.3">
      <c r="B134" s="633" t="s">
        <v>385</v>
      </c>
      <c r="C134" s="634" t="s">
        <v>384</v>
      </c>
      <c r="D134" s="634" t="str">
        <f t="shared" si="27"/>
        <v>Kč</v>
      </c>
      <c r="E134" s="635">
        <f>IF(AND('2. Vstupní data on-premise '!$D$251="NE",DelkaProjektu&gt;=E$29),('2. Vstupní data on-premise '!$L$248+'2. Vstupní data on-premise '!$L$249)/DelkaProjektu,IF(DelkaProjektu=E$29,'2. Vstupní data on-premise '!$L$248+'2. Vstupní data on-premise '!$L$249,0))</f>
        <v>0</v>
      </c>
      <c r="F134" s="635">
        <f>IF(AND('2. Vstupní data on-premise '!$D$251="NE",DelkaProjektu&gt;=F$29),('2. Vstupní data on-premise '!$L$248+'2. Vstupní data on-premise '!$L$249)/DelkaProjektu,IF(DelkaProjektu=F$29,'2. Vstupní data on-premise '!$L$248+'2. Vstupní data on-premise '!$L$249,0))</f>
        <v>0</v>
      </c>
      <c r="G134" s="635">
        <f>IF(AND('2. Vstupní data on-premise '!$D$251="NE",DelkaProjektu&gt;=G$29),('2. Vstupní data on-premise '!$L$248+'2. Vstupní data on-premise '!$L$249)/DelkaProjektu,IF(DelkaProjektu=G$29,'2. Vstupní data on-premise '!$L$248+'2. Vstupní data on-premise '!$L$249,0))</f>
        <v>0</v>
      </c>
      <c r="H134" s="635">
        <f>IF(AND('2. Vstupní data on-premise '!$D$251="NE",DelkaProjektu&gt;=H$29),('2. Vstupní data on-premise '!$L$248+'2. Vstupní data on-premise '!$L$249)/DelkaProjektu,IF(DelkaProjektu=H$29,'2. Vstupní data on-premise '!$L$248+'2. Vstupní data on-premise '!$L$249,0))</f>
        <v>0</v>
      </c>
      <c r="I134" s="635">
        <f>IF(AND('2. Vstupní data on-premise '!$D$251="NE",DelkaProjektu&gt;=I$29),('2. Vstupní data on-premise '!$L$248+'2. Vstupní data on-premise '!$L$249)/DelkaProjektu,IF(DelkaProjektu=I$29,'2. Vstupní data on-premise '!$L$248+'2. Vstupní data on-premise '!$L$249,0))</f>
        <v>0</v>
      </c>
      <c r="J134" s="657">
        <f t="shared" si="22"/>
        <v>0</v>
      </c>
      <c r="K134" s="132"/>
      <c r="L134" s="603" t="s">
        <v>475</v>
      </c>
      <c r="N134" s="596" t="s">
        <v>477</v>
      </c>
    </row>
    <row r="135" spans="2:14" ht="27.6" x14ac:dyDescent="0.3">
      <c r="B135" s="654" t="s">
        <v>483</v>
      </c>
      <c r="C135" s="675" t="s">
        <v>581</v>
      </c>
      <c r="D135" s="675" t="str">
        <f t="shared" si="27"/>
        <v>Kč</v>
      </c>
      <c r="E135" s="656">
        <f>E136</f>
        <v>0</v>
      </c>
      <c r="F135" s="656">
        <f t="shared" ref="F135:I135" si="29">F136</f>
        <v>0</v>
      </c>
      <c r="G135" s="656">
        <f t="shared" si="29"/>
        <v>0</v>
      </c>
      <c r="H135" s="656">
        <f t="shared" si="29"/>
        <v>0</v>
      </c>
      <c r="I135" s="656">
        <f t="shared" si="29"/>
        <v>0</v>
      </c>
      <c r="J135" s="656">
        <f>SUM(E135:I135)</f>
        <v>0</v>
      </c>
      <c r="K135" s="132"/>
      <c r="L135" s="603" t="s">
        <v>475</v>
      </c>
    </row>
    <row r="136" spans="2:14" x14ac:dyDescent="0.3">
      <c r="B136" s="633" t="s">
        <v>390</v>
      </c>
      <c r="C136" s="634" t="s">
        <v>582</v>
      </c>
      <c r="D136" s="634" t="str">
        <f t="shared" si="27"/>
        <v>Kč</v>
      </c>
      <c r="E136" s="635">
        <f>IF(DelkaProjektu&gt;=E$29,'2. Vstupní data on-premise '!$L$259,0)</f>
        <v>0</v>
      </c>
      <c r="F136" s="635">
        <f>IF(DelkaProjektu&gt;=F$29,'2. Vstupní data on-premise '!$L$259,0)</f>
        <v>0</v>
      </c>
      <c r="G136" s="635">
        <f>IF(DelkaProjektu&gt;=G$29,'2. Vstupní data on-premise '!$L$259,0)</f>
        <v>0</v>
      </c>
      <c r="H136" s="635">
        <f>IF(DelkaProjektu&gt;=H$29,'2. Vstupní data on-premise '!$L$259,0)</f>
        <v>0</v>
      </c>
      <c r="I136" s="635">
        <f>IF(DelkaProjektu&gt;=I$29,'2. Vstupní data on-premise '!$L$259,0)</f>
        <v>0</v>
      </c>
      <c r="J136" s="657">
        <f>SUM(E136:I136)</f>
        <v>0</v>
      </c>
      <c r="K136" s="132"/>
      <c r="L136" s="603" t="s">
        <v>475</v>
      </c>
      <c r="N136" s="596" t="s">
        <v>477</v>
      </c>
    </row>
    <row r="137" spans="2:14" ht="14.25" customHeight="1" x14ac:dyDescent="0.3">
      <c r="B137" s="654" t="s">
        <v>583</v>
      </c>
      <c r="C137" s="655" t="s">
        <v>584</v>
      </c>
      <c r="D137" s="655" t="str">
        <f t="shared" si="27"/>
        <v>Kč</v>
      </c>
      <c r="E137" s="656">
        <f>SUM(E138:E139)</f>
        <v>0</v>
      </c>
      <c r="F137" s="656">
        <f t="shared" ref="F137:I137" si="30">SUM(F138:F139)</f>
        <v>0</v>
      </c>
      <c r="G137" s="656">
        <f t="shared" si="30"/>
        <v>0</v>
      </c>
      <c r="H137" s="656">
        <f t="shared" si="30"/>
        <v>0</v>
      </c>
      <c r="I137" s="656">
        <f t="shared" si="30"/>
        <v>0</v>
      </c>
      <c r="J137" s="656">
        <f t="shared" si="22"/>
        <v>0</v>
      </c>
      <c r="K137" s="132"/>
      <c r="L137" s="603" t="s">
        <v>475</v>
      </c>
    </row>
    <row r="138" spans="2:14" ht="14.25" customHeight="1" x14ac:dyDescent="0.3">
      <c r="B138" s="633" t="s">
        <v>396</v>
      </c>
      <c r="C138" s="634" t="s">
        <v>585</v>
      </c>
      <c r="D138" s="634" t="str">
        <f t="shared" si="27"/>
        <v>Kč</v>
      </c>
      <c r="E138" s="635">
        <f>IF('2. Vstupní data on-premise '!$D$285="ANO",'2. Vstupní data on-premise '!$L$288+'2. Vstupní data on-premise '!$L$291,IF('2. Vstupní data on-premise '!$D$285="NE",IF(DelkaProjektu&gt;=E$29,'2. Vstupní data on-premise '!$L$291/DelkaProjektu+'2. Vstupní data on-premise '!$L$288)))</f>
        <v>0</v>
      </c>
      <c r="F138" s="635">
        <f>IF(DelkaProjektu&gt;=F$29,'2. Vstupní data on-premise '!$L$292,0)</f>
        <v>0</v>
      </c>
      <c r="G138" s="635">
        <f>IF(DelkaProjektu&gt;=G$29,'2. Vstupní data on-premise '!$L$292,0)</f>
        <v>0</v>
      </c>
      <c r="H138" s="635">
        <f>IF(DelkaProjektu&gt;=H$29,'2. Vstupní data on-premise '!$L$292,0)</f>
        <v>0</v>
      </c>
      <c r="I138" s="635">
        <f>IF(DelkaProjektu&gt;=I$29,'2. Vstupní data on-premise '!$L$292,0)</f>
        <v>0</v>
      </c>
      <c r="J138" s="636">
        <f t="shared" si="22"/>
        <v>0</v>
      </c>
      <c r="K138" s="132"/>
      <c r="L138" s="603" t="s">
        <v>475</v>
      </c>
      <c r="N138" s="596" t="s">
        <v>477</v>
      </c>
    </row>
    <row r="139" spans="2:14" ht="14.25" customHeight="1" thickBot="1" x14ac:dyDescent="0.35">
      <c r="B139" s="633" t="s">
        <v>412</v>
      </c>
      <c r="C139" s="634" t="s">
        <v>586</v>
      </c>
      <c r="D139" s="634" t="str">
        <f t="shared" si="27"/>
        <v>Kč</v>
      </c>
      <c r="E139" s="635">
        <f>IF('2. Vstupní data on-premise '!$D$285="ANO",'2. Vstupní data on-premise '!$L$296+'2. Vstupní data on-premise '!$L$299,IF('2. Vstupní data on-premise '!$D$285="NE",IF(DelkaProjektu&gt;=E$29,'2. Vstupní data on-premise '!$L$299/DelkaProjektu+'2. Vstupní data on-premise '!$L$296)))</f>
        <v>0</v>
      </c>
      <c r="F139" s="635">
        <f>IF(DelkaProjektu&gt;=F$29,'2. Vstupní data on-premise '!$L$301,0)</f>
        <v>0</v>
      </c>
      <c r="G139" s="635">
        <f>IF(DelkaProjektu&gt;=G$29,'2. Vstupní data on-premise '!$L$301,0)</f>
        <v>0</v>
      </c>
      <c r="H139" s="635">
        <f>IF(DelkaProjektu&gt;=H$29,'2. Vstupní data on-premise '!$L$301,0)</f>
        <v>0</v>
      </c>
      <c r="I139" s="635">
        <f>IF(DelkaProjektu&gt;=I$29,'2. Vstupní data on-premise '!$L$301,0)</f>
        <v>0</v>
      </c>
      <c r="J139" s="636">
        <f t="shared" si="22"/>
        <v>0</v>
      </c>
      <c r="K139" s="132"/>
      <c r="L139" s="603" t="s">
        <v>475</v>
      </c>
      <c r="N139" s="596" t="s">
        <v>477</v>
      </c>
    </row>
    <row r="140" spans="2:14" ht="22.5" customHeight="1" thickTop="1" thickBot="1" x14ac:dyDescent="0.35">
      <c r="B140" s="641"/>
      <c r="C140" s="676" t="s">
        <v>587</v>
      </c>
      <c r="D140" s="676" t="str">
        <f t="shared" si="27"/>
        <v>Kč</v>
      </c>
      <c r="E140" s="677">
        <f t="shared" ref="E140:J140" si="31">E30+E33+E57+E71+E98+E116+E121+E126+E131+E135+E137</f>
        <v>0</v>
      </c>
      <c r="F140" s="677">
        <f t="shared" si="31"/>
        <v>0</v>
      </c>
      <c r="G140" s="677">
        <f t="shared" si="31"/>
        <v>0</v>
      </c>
      <c r="H140" s="677">
        <f t="shared" si="31"/>
        <v>0</v>
      </c>
      <c r="I140" s="677">
        <f t="shared" si="31"/>
        <v>0</v>
      </c>
      <c r="J140" s="677">
        <f t="shared" si="31"/>
        <v>0</v>
      </c>
      <c r="K140" s="612"/>
      <c r="L140" s="606"/>
    </row>
    <row r="141" spans="2:14" ht="15" thickTop="1" x14ac:dyDescent="0.3">
      <c r="B141" s="641"/>
      <c r="C141" s="678" t="s">
        <v>588</v>
      </c>
      <c r="D141" s="679"/>
      <c r="E141" s="680">
        <f>E140/1000</f>
        <v>0</v>
      </c>
      <c r="F141" s="680">
        <f>F140/1000</f>
        <v>0</v>
      </c>
      <c r="G141" s="680">
        <f t="shared" ref="G141:I141" si="32">G140/1000</f>
        <v>0</v>
      </c>
      <c r="H141" s="680">
        <f t="shared" si="32"/>
        <v>0</v>
      </c>
      <c r="I141" s="680">
        <f t="shared" si="32"/>
        <v>0</v>
      </c>
      <c r="J141" s="621">
        <f>J140/1000</f>
        <v>0</v>
      </c>
      <c r="K141" s="613"/>
      <c r="L141" s="606"/>
    </row>
    <row r="142" spans="2:14" ht="15" thickBot="1" x14ac:dyDescent="0.35">
      <c r="B142" s="641"/>
      <c r="C142" s="681" t="s">
        <v>589</v>
      </c>
      <c r="D142" s="682"/>
      <c r="E142" s="683">
        <f t="shared" ref="E142:J142" si="33">E140/PocetUzivatelu</f>
        <v>0</v>
      </c>
      <c r="F142" s="683">
        <f t="shared" si="33"/>
        <v>0</v>
      </c>
      <c r="G142" s="683">
        <f t="shared" si="33"/>
        <v>0</v>
      </c>
      <c r="H142" s="683">
        <f t="shared" si="33"/>
        <v>0</v>
      </c>
      <c r="I142" s="683">
        <f t="shared" si="33"/>
        <v>0</v>
      </c>
      <c r="J142" s="684">
        <f t="shared" si="33"/>
        <v>0</v>
      </c>
      <c r="K142" s="612"/>
      <c r="L142" s="606"/>
    </row>
    <row r="143" spans="2:14" ht="15" thickTop="1" x14ac:dyDescent="0.3">
      <c r="B143" s="641"/>
      <c r="C143" s="664"/>
      <c r="D143" s="685"/>
      <c r="E143" s="686"/>
      <c r="F143" s="686"/>
      <c r="G143" s="686"/>
      <c r="H143" s="686"/>
      <c r="I143" s="686"/>
      <c r="J143" s="687"/>
      <c r="K143" s="613"/>
    </row>
    <row r="144" spans="2:14" x14ac:dyDescent="0.3">
      <c r="B144" s="641"/>
      <c r="C144" s="664"/>
      <c r="D144" s="685"/>
      <c r="E144" s="686"/>
      <c r="F144" s="686"/>
      <c r="G144" s="686"/>
      <c r="H144" s="686"/>
      <c r="I144" s="686"/>
      <c r="J144" s="687"/>
      <c r="K144" s="613"/>
    </row>
    <row r="145" spans="2:12" ht="23.4" customHeight="1" x14ac:dyDescent="0.3">
      <c r="B145" s="688"/>
      <c r="C145" s="688" t="s">
        <v>590</v>
      </c>
      <c r="D145" s="689"/>
      <c r="E145" s="690">
        <v>1</v>
      </c>
      <c r="F145" s="690">
        <v>2</v>
      </c>
      <c r="G145" s="690">
        <v>3</v>
      </c>
      <c r="H145" s="690">
        <v>4</v>
      </c>
      <c r="I145" s="690">
        <v>5</v>
      </c>
      <c r="J145" s="691" t="s">
        <v>389</v>
      </c>
      <c r="K145" s="613"/>
    </row>
    <row r="146" spans="2:12" x14ac:dyDescent="0.3">
      <c r="B146" s="654" t="s">
        <v>473</v>
      </c>
      <c r="C146" s="655" t="s">
        <v>474</v>
      </c>
      <c r="D146" s="655" t="str">
        <f t="shared" ref="D146:D177" si="34">JenotkaMěny</f>
        <v>Kč</v>
      </c>
      <c r="E146" s="656">
        <f>SUM(E147:E148)</f>
        <v>0</v>
      </c>
      <c r="F146" s="656">
        <f t="shared" ref="F146:G146" si="35">SUM(F147:F148)</f>
        <v>0</v>
      </c>
      <c r="G146" s="656">
        <f t="shared" si="35"/>
        <v>0</v>
      </c>
      <c r="H146" s="656">
        <f>SUM(H147:H148)</f>
        <v>0</v>
      </c>
      <c r="I146" s="656">
        <f>SUM(I147:I148)</f>
        <v>0</v>
      </c>
      <c r="J146" s="656">
        <f>SUM(E146:I146)</f>
        <v>0</v>
      </c>
      <c r="K146" s="613"/>
      <c r="L146" s="603" t="s">
        <v>475</v>
      </c>
    </row>
    <row r="147" spans="2:12" x14ac:dyDescent="0.3">
      <c r="B147" s="633" t="s">
        <v>306</v>
      </c>
      <c r="C147" s="634" t="s">
        <v>476</v>
      </c>
      <c r="D147" s="634" t="str">
        <f t="shared" si="34"/>
        <v>Kč</v>
      </c>
      <c r="E147" s="635">
        <f>IF('3. Vstupní data cloud'!$D$86="ANO",'3. Vstupní data cloud'!$L80+'3. Vstupní data cloud'!$L81,IF('3. Vstupní data cloud'!$D$86="NE",IF(DelkaProjektu&gt;=E$145,('3. Vstupní data cloud'!$L80+'3. Vstupní data cloud'!$L81)/DelkaProjektu,)))</f>
        <v>0</v>
      </c>
      <c r="F147" s="635">
        <f>IF('3. Vstupní data cloud'!$D$86="ANO",0,IF('3. Vstupní data cloud'!$D$86="NE",IF(DelkaProjektu&gt;=F$145,('3. Vstupní data cloud'!$L80+'3. Vstupní data cloud'!$L81)/DelkaProjektu,)))</f>
        <v>0</v>
      </c>
      <c r="G147" s="635">
        <f>IF('3. Vstupní data cloud'!$D$86="ANO",0,IF('3. Vstupní data cloud'!$D$86="NE",IF(DelkaProjektu&gt;=G$145,('3. Vstupní data cloud'!$L80+'3. Vstupní data cloud'!$L81)/DelkaProjektu,)))</f>
        <v>0</v>
      </c>
      <c r="H147" s="635">
        <f>IF('3. Vstupní data cloud'!$D$86="ANO",0,IF('3. Vstupní data cloud'!$D$86="NE",IF(DelkaProjektu&gt;=H$145,('3. Vstupní data cloud'!$L80+'3. Vstupní data cloud'!$L81)/DelkaProjektu,)))</f>
        <v>0</v>
      </c>
      <c r="I147" s="635">
        <f>IF('3. Vstupní data cloud'!$D$86="ANO",0,IF('3. Vstupní data cloud'!$D$86="NE",IF(DelkaProjektu&gt;=I$145,('3. Vstupní data cloud'!$L80+'3. Vstupní data cloud'!$L81)/DelkaProjektu,)))</f>
        <v>0</v>
      </c>
      <c r="J147" s="692">
        <f>SUM(E147:I147)</f>
        <v>0</v>
      </c>
      <c r="K147" s="613"/>
      <c r="L147" s="603" t="s">
        <v>475</v>
      </c>
    </row>
    <row r="148" spans="2:12" x14ac:dyDescent="0.3">
      <c r="B148" s="633" t="s">
        <v>310</v>
      </c>
      <c r="C148" s="634" t="s">
        <v>479</v>
      </c>
      <c r="D148" s="634" t="str">
        <f t="shared" si="34"/>
        <v>Kč</v>
      </c>
      <c r="E148" s="635">
        <f>IF('3. Vstupní data cloud'!$D$86="ANO",'3. Vstupní data cloud'!$L82+'3. Vstupní data cloud'!$L83,IF('3. Vstupní data cloud'!$D$86="NE",IF(DelkaProjektu&gt;=E$145,('3. Vstupní data cloud'!$L82+'3. Vstupní data cloud'!$L83)/DelkaProjektu,)))</f>
        <v>0</v>
      </c>
      <c r="F148" s="635">
        <f>IF('3. Vstupní data cloud'!$D$86="ANO",0,IF('3. Vstupní data cloud'!$D$86="NE",IF(DelkaProjektu&gt;=F$145,('3. Vstupní data cloud'!$L82+'3. Vstupní data cloud'!$L83)/DelkaProjektu,)))</f>
        <v>0</v>
      </c>
      <c r="G148" s="635">
        <f>IF('3. Vstupní data cloud'!$D$86="ANO",0,IF('3. Vstupní data cloud'!$D$86="NE",IF(DelkaProjektu&gt;=G$145,('3. Vstupní data cloud'!$L82+'3. Vstupní data cloud'!$L83)/DelkaProjektu,)))</f>
        <v>0</v>
      </c>
      <c r="H148" s="635">
        <f>IF('3. Vstupní data cloud'!$D$86="ANO",0,IF('3. Vstupní data cloud'!$D$86="NE",IF(DelkaProjektu&gt;=H$145,('3. Vstupní data cloud'!$L82+'3. Vstupní data cloud'!$L83)/DelkaProjektu,)))</f>
        <v>0</v>
      </c>
      <c r="I148" s="635">
        <f>IF('3. Vstupní data cloud'!$D$86="ANO",0,IF('3. Vstupní data cloud'!$D$86="NE",IF(DelkaProjektu&gt;=I$145,('3. Vstupní data cloud'!$L82+'3. Vstupní data cloud'!$L83)/DelkaProjektu,)))</f>
        <v>0</v>
      </c>
      <c r="J148" s="693">
        <f>SUM(E148:I148)</f>
        <v>0</v>
      </c>
      <c r="K148" s="613"/>
      <c r="L148" s="603" t="s">
        <v>475</v>
      </c>
    </row>
    <row r="149" spans="2:12" x14ac:dyDescent="0.3">
      <c r="B149" s="694" t="s">
        <v>480</v>
      </c>
      <c r="C149" s="695" t="s">
        <v>481</v>
      </c>
      <c r="D149" s="655" t="str">
        <f t="shared" si="34"/>
        <v>Kč</v>
      </c>
      <c r="E149" s="696">
        <f>E150+E152+E154</f>
        <v>0</v>
      </c>
      <c r="F149" s="696">
        <f t="shared" ref="F149:I149" si="36">F150+F152+F154</f>
        <v>0</v>
      </c>
      <c r="G149" s="696">
        <f t="shared" si="36"/>
        <v>0</v>
      </c>
      <c r="H149" s="696">
        <f t="shared" si="36"/>
        <v>0</v>
      </c>
      <c r="I149" s="696">
        <f t="shared" si="36"/>
        <v>0</v>
      </c>
      <c r="J149" s="696">
        <f>SUM(E149:I149)</f>
        <v>0</v>
      </c>
      <c r="K149" s="613"/>
      <c r="L149" s="603" t="s">
        <v>475</v>
      </c>
    </row>
    <row r="150" spans="2:12" x14ac:dyDescent="0.3">
      <c r="B150" s="633" t="s">
        <v>486</v>
      </c>
      <c r="C150" s="646" t="s">
        <v>487</v>
      </c>
      <c r="D150" s="646" t="str">
        <f t="shared" si="34"/>
        <v>Kč</v>
      </c>
      <c r="E150" s="635">
        <f>SUM(E151)</f>
        <v>0</v>
      </c>
      <c r="F150" s="635">
        <f t="shared" ref="F150:I150" si="37">SUM(F151)</f>
        <v>0</v>
      </c>
      <c r="G150" s="635">
        <f t="shared" si="37"/>
        <v>0</v>
      </c>
      <c r="H150" s="635">
        <f t="shared" si="37"/>
        <v>0</v>
      </c>
      <c r="I150" s="635">
        <f t="shared" si="37"/>
        <v>0</v>
      </c>
      <c r="J150" s="636">
        <f t="shared" ref="J150:J152" si="38">SUM(E150:I150)</f>
        <v>0</v>
      </c>
      <c r="K150" s="613"/>
      <c r="L150" s="603" t="s">
        <v>475</v>
      </c>
    </row>
    <row r="151" spans="2:12" outlineLevel="1" x14ac:dyDescent="0.3">
      <c r="B151" s="645" t="s">
        <v>207</v>
      </c>
      <c r="C151" s="642" t="s">
        <v>206</v>
      </c>
      <c r="D151" s="642" t="str">
        <f t="shared" si="34"/>
        <v>Kč</v>
      </c>
      <c r="E151" s="643">
        <f>IF('3. Vstupní data cloud'!$D$72="ANO",'3. Vstupní data cloud'!$L72,IF('3. Vstupní data cloud'!$D$72="NE",IF(DelkaProjektu&gt;=E$145,'3. Vstupní data cloud'!$L72/DelkaProjektu,0)))</f>
        <v>0</v>
      </c>
      <c r="F151" s="643">
        <f>IF('3. Vstupní data cloud'!$D$72="ANO",0,IF('3. Vstupní data cloud'!$D$72="NE",IF(DelkaProjektu&gt;=F$145,'3. Vstupní data cloud'!$L72/DelkaProjektu,0)))</f>
        <v>0</v>
      </c>
      <c r="G151" s="643">
        <f>IF('3. Vstupní data cloud'!$D$72="ANO",0,IF('3. Vstupní data cloud'!$D$72="NE",IF(DelkaProjektu&gt;=G$145,'3. Vstupní data cloud'!$L72/DelkaProjektu,0)))</f>
        <v>0</v>
      </c>
      <c r="H151" s="643">
        <f>IF('3. Vstupní data cloud'!$D$72="ANO",0,IF('3. Vstupní data cloud'!$D$72="NE",IF(DelkaProjektu&gt;=H$145,'3. Vstupní data cloud'!$L72/DelkaProjektu,0)))</f>
        <v>0</v>
      </c>
      <c r="I151" s="643">
        <f>IF('3. Vstupní data cloud'!$D$72="ANO",0,IF('3. Vstupní data cloud'!$D$72="NE",IF(DelkaProjektu&gt;=I$145,'3. Vstupní data cloud'!$L72/DelkaProjektu,0)))</f>
        <v>0</v>
      </c>
      <c r="J151" s="644">
        <f>SUM(E151:I151)</f>
        <v>0</v>
      </c>
      <c r="K151" s="613"/>
      <c r="L151" s="603" t="s">
        <v>475</v>
      </c>
    </row>
    <row r="152" spans="2:12" x14ac:dyDescent="0.3">
      <c r="B152" s="633" t="s">
        <v>490</v>
      </c>
      <c r="C152" s="646" t="s">
        <v>491</v>
      </c>
      <c r="D152" s="646" t="str">
        <f t="shared" si="34"/>
        <v>Kč</v>
      </c>
      <c r="E152" s="635">
        <f>SUM(E153)</f>
        <v>0</v>
      </c>
      <c r="F152" s="635">
        <f t="shared" ref="F152:I152" si="39">SUM(F153)</f>
        <v>0</v>
      </c>
      <c r="G152" s="635">
        <f t="shared" si="39"/>
        <v>0</v>
      </c>
      <c r="H152" s="635">
        <f t="shared" si="39"/>
        <v>0</v>
      </c>
      <c r="I152" s="635">
        <f t="shared" si="39"/>
        <v>0</v>
      </c>
      <c r="J152" s="636">
        <f t="shared" si="38"/>
        <v>0</v>
      </c>
      <c r="K152" s="613"/>
      <c r="L152" s="614"/>
    </row>
    <row r="153" spans="2:12" outlineLevel="1" x14ac:dyDescent="0.3">
      <c r="B153" s="641" t="s">
        <v>209</v>
      </c>
      <c r="C153" s="642" t="s">
        <v>208</v>
      </c>
      <c r="D153" s="642" t="str">
        <f t="shared" si="34"/>
        <v>Kč</v>
      </c>
      <c r="E153" s="643">
        <f>IF('3. Vstupní data cloud'!$D$73="ANO",'3. Vstupní data cloud'!$L73,IF('3. Vstupní data cloud'!$D$73="NE",IF(DelkaProjektu&gt;=E$145,'3. Vstupní data cloud'!$L73/DelkaProjektu,0)))</f>
        <v>0</v>
      </c>
      <c r="F153" s="643">
        <f>IF('3. Vstupní data cloud'!$D$73="ANO",0,IF('3. Vstupní data cloud'!$D$73="NE",IF(DelkaProjektu&gt;=F$145,'3. Vstupní data cloud'!$L73/DelkaProjektu,0)))</f>
        <v>0</v>
      </c>
      <c r="G153" s="643">
        <f>IF('3. Vstupní data cloud'!$D$73="ANO",0,IF('3. Vstupní data cloud'!$D$73="NE",IF(DelkaProjektu&gt;=G$145,'3. Vstupní data cloud'!$L73/DelkaProjektu,0)))</f>
        <v>0</v>
      </c>
      <c r="H153" s="643">
        <f>IF('3. Vstupní data cloud'!$D$73="ANO",0,IF('3. Vstupní data cloud'!$D$73="NE",IF(DelkaProjektu&gt;=H$145,'3. Vstupní data cloud'!$L73/DelkaProjektu,0)))</f>
        <v>0</v>
      </c>
      <c r="I153" s="643">
        <f>IF('3. Vstupní data cloud'!$D$73="ANO",0,IF('3. Vstupní data cloud'!$D$73="NE",IF(DelkaProjektu&gt;=I$145,'3. Vstupní data cloud'!$L73/DelkaProjektu,0)))</f>
        <v>0</v>
      </c>
      <c r="J153" s="644">
        <f t="shared" ref="J153:J157" si="40">SUM(E153:I153)</f>
        <v>0</v>
      </c>
      <c r="K153" s="613"/>
      <c r="L153" s="614"/>
    </row>
    <row r="154" spans="2:12" x14ac:dyDescent="0.3">
      <c r="B154" s="633" t="s">
        <v>495</v>
      </c>
      <c r="C154" s="646" t="s">
        <v>496</v>
      </c>
      <c r="D154" s="646" t="str">
        <f t="shared" si="34"/>
        <v>Kč</v>
      </c>
      <c r="E154" s="635">
        <f>SUM(E155:E157)</f>
        <v>0</v>
      </c>
      <c r="F154" s="635">
        <f t="shared" ref="F154:I154" si="41">SUM(F155:F157)</f>
        <v>0</v>
      </c>
      <c r="G154" s="635">
        <f t="shared" si="41"/>
        <v>0</v>
      </c>
      <c r="H154" s="635">
        <f t="shared" si="41"/>
        <v>0</v>
      </c>
      <c r="I154" s="635">
        <f t="shared" si="41"/>
        <v>0</v>
      </c>
      <c r="J154" s="636">
        <f t="shared" si="40"/>
        <v>0</v>
      </c>
      <c r="K154" s="613"/>
      <c r="L154" s="603" t="s">
        <v>475</v>
      </c>
    </row>
    <row r="155" spans="2:12" outlineLevel="1" x14ac:dyDescent="0.3">
      <c r="B155" s="641" t="s">
        <v>134</v>
      </c>
      <c r="C155" s="642" t="s">
        <v>497</v>
      </c>
      <c r="D155" s="642" t="str">
        <f t="shared" si="34"/>
        <v>Kč</v>
      </c>
      <c r="E155" s="643">
        <f>IF('3. Vstupní data cloud'!$D$53="ANO",'3. Vstupní data cloud'!$L53+'3. Vstupní data cloud'!$L56+'3. Vstupní data cloud'!$L59,IF('3. Vstupní data cloud'!$D$53="NE",IF(DelkaProjektu&gt;=E$145,('3. Vstupní data cloud'!$L53+'3. Vstupní data cloud'!$L56+'3. Vstupní data cloud'!$L59)/DelkaProjektu,0)))</f>
        <v>0</v>
      </c>
      <c r="F155" s="643">
        <f>IF('3. Vstupní data cloud'!$D$53="ANO",0,IF('3. Vstupní data cloud'!$D$53="NE",IF(DelkaProjektu&gt;=F$145,('3. Vstupní data cloud'!$L53+'3. Vstupní data cloud'!$L56+'3. Vstupní data cloud'!$L59)/DelkaProjektu,0)))</f>
        <v>0</v>
      </c>
      <c r="G155" s="643">
        <f>IF('3. Vstupní data cloud'!$D$53="ANO",0,IF('3. Vstupní data cloud'!$D$53="NE",IF(DelkaProjektu&gt;=G$145,('3. Vstupní data cloud'!$L53+'3. Vstupní data cloud'!$L56+'3. Vstupní data cloud'!$L59)/DelkaProjektu,0)))</f>
        <v>0</v>
      </c>
      <c r="H155" s="643">
        <f>IF('3. Vstupní data cloud'!$D$53="ANO",0,IF('3. Vstupní data cloud'!$D$53="NE",IF(DelkaProjektu&gt;=H$145,('3. Vstupní data cloud'!$L53+'3. Vstupní data cloud'!$L56+'3. Vstupní data cloud'!$L59)/DelkaProjektu,0)))</f>
        <v>0</v>
      </c>
      <c r="I155" s="643">
        <f>IF('3. Vstupní data cloud'!$D$53="ANO",0,IF('3. Vstupní data cloud'!$D$53="NE",IF(DelkaProjektu&gt;=I$145,('3. Vstupní data cloud'!$L53+'3. Vstupní data cloud'!$L56+'3. Vstupní data cloud'!$L59)/DelkaProjektu,0)))</f>
        <v>0</v>
      </c>
      <c r="J155" s="644">
        <f t="shared" si="40"/>
        <v>0</v>
      </c>
      <c r="K155" s="613"/>
      <c r="L155" s="603" t="s">
        <v>475</v>
      </c>
    </row>
    <row r="156" spans="2:12" outlineLevel="1" x14ac:dyDescent="0.3">
      <c r="B156" s="641" t="s">
        <v>139</v>
      </c>
      <c r="C156" s="642" t="s">
        <v>138</v>
      </c>
      <c r="D156" s="642" t="str">
        <f t="shared" si="34"/>
        <v>Kč</v>
      </c>
      <c r="E156" s="643">
        <f>IF('3. Vstupní data cloud'!$D$63="ANO",'3. Vstupní data cloud'!$L63,IF('3. Vstupní data cloud'!$D$63="NE",IF(DelkaProjektu&gt;=E$145,'3. Vstupní data cloud'!$L63/DelkaProjektu,0)))</f>
        <v>0</v>
      </c>
      <c r="F156" s="643">
        <f>IF('3. Vstupní data cloud'!$D$63="ANO",0,IF('3. Vstupní data cloud'!$D$63="NE",IF(DelkaProjektu&gt;=F$145,'3. Vstupní data cloud'!$L63/DelkaProjektu,0)))</f>
        <v>0</v>
      </c>
      <c r="G156" s="643">
        <f>IF('3. Vstupní data cloud'!$D$63="ANO",0,IF('3. Vstupní data cloud'!$D$63="NE",IF(DelkaProjektu&gt;=G$145,'3. Vstupní data cloud'!$L63/DelkaProjektu,0)))</f>
        <v>0</v>
      </c>
      <c r="H156" s="643">
        <f>IF('3. Vstupní data cloud'!$D$63="ANO",0,IF('3. Vstupní data cloud'!$D$63="NE",IF(DelkaProjektu&gt;=H$145,'3. Vstupní data cloud'!$L63/DelkaProjektu,0)))</f>
        <v>0</v>
      </c>
      <c r="I156" s="643">
        <f>IF('3. Vstupní data cloud'!$D$63="ANO",0,IF('3. Vstupní data cloud'!$D$63="NE",IF(DelkaProjektu&gt;=I$145,'3. Vstupní data cloud'!$L63/DelkaProjektu,0)))</f>
        <v>0</v>
      </c>
      <c r="J156" s="644">
        <f t="shared" si="40"/>
        <v>0</v>
      </c>
      <c r="K156" s="613"/>
      <c r="L156" s="603" t="s">
        <v>475</v>
      </c>
    </row>
    <row r="157" spans="2:12" outlineLevel="1" x14ac:dyDescent="0.3">
      <c r="B157" s="641" t="s">
        <v>144</v>
      </c>
      <c r="C157" s="642" t="s">
        <v>140</v>
      </c>
      <c r="D157" s="642" t="str">
        <f t="shared" si="34"/>
        <v>Kč</v>
      </c>
      <c r="E157" s="643">
        <f>IF('3. Vstupní data cloud'!$D$65="ANO",'3. Vstupní data cloud'!$L65,IF('3. Vstupní data cloud'!$D$65="NE",IF(DelkaProjektu&gt;=E$145,'3. Vstupní data cloud'!$L65/DelkaProjektu,0)))</f>
        <v>0</v>
      </c>
      <c r="F157" s="643">
        <f>IF('3. Vstupní data cloud'!$D$65="ANO",0,IF('3. Vstupní data cloud'!$D$65="NE",IF(DelkaProjektu&gt;=F$145,'3. Vstupní data cloud'!$L65/DelkaProjektu,0)))</f>
        <v>0</v>
      </c>
      <c r="G157" s="643">
        <f>IF('3. Vstupní data cloud'!$D$65="ANO",0,IF('3. Vstupní data cloud'!$D$65="NE",IF(DelkaProjektu&gt;=G$145,'3. Vstupní data cloud'!$L65/DelkaProjektu,0)))</f>
        <v>0</v>
      </c>
      <c r="H157" s="643">
        <f>IF('3. Vstupní data cloud'!$D$65="ANO",0,IF('3. Vstupní data cloud'!$D$65="NE",IF(DelkaProjektu&gt;=H$145,'3. Vstupní data cloud'!$L65/DelkaProjektu,0)))</f>
        <v>0</v>
      </c>
      <c r="I157" s="643">
        <f>IF('3. Vstupní data cloud'!$D$65="ANO",0,IF('3. Vstupní data cloud'!$D$65="NE",IF(DelkaProjektu&gt;=I$145,'3. Vstupní data cloud'!$L65/DelkaProjektu,0)))</f>
        <v>0</v>
      </c>
      <c r="J157" s="644">
        <f t="shared" si="40"/>
        <v>0</v>
      </c>
      <c r="K157" s="613"/>
      <c r="L157" s="603" t="s">
        <v>475</v>
      </c>
    </row>
    <row r="158" spans="2:12" x14ac:dyDescent="0.3">
      <c r="B158" s="654" t="s">
        <v>505</v>
      </c>
      <c r="C158" s="655" t="s">
        <v>506</v>
      </c>
      <c r="D158" s="655" t="str">
        <f t="shared" si="34"/>
        <v>Kč</v>
      </c>
      <c r="E158" s="656">
        <f>SUM(E159:E171)</f>
        <v>0</v>
      </c>
      <c r="F158" s="656">
        <f t="shared" ref="F158:I158" si="42">SUM(F159:F171)</f>
        <v>0</v>
      </c>
      <c r="G158" s="656">
        <f t="shared" si="42"/>
        <v>0</v>
      </c>
      <c r="H158" s="656">
        <f t="shared" si="42"/>
        <v>0</v>
      </c>
      <c r="I158" s="656">
        <f t="shared" si="42"/>
        <v>0</v>
      </c>
      <c r="J158" s="656">
        <f>SUM(E158:I158)</f>
        <v>0</v>
      </c>
      <c r="K158" s="615"/>
      <c r="L158" s="603" t="s">
        <v>475</v>
      </c>
    </row>
    <row r="159" spans="2:12" x14ac:dyDescent="0.3">
      <c r="B159" s="633" t="s">
        <v>318</v>
      </c>
      <c r="C159" s="646" t="s">
        <v>507</v>
      </c>
      <c r="D159" s="646" t="str">
        <f t="shared" si="34"/>
        <v>Kč</v>
      </c>
      <c r="E159" s="635">
        <f>IF('3. Vstupní data cloud'!$D$121="ANO",'3. Vstupní data cloud'!$L89+'3. Vstupní data cloud'!$L90,IF('3. Vstupní data cloud'!$D$121="NE",IF(DelkaProjektu&gt;=E$145,('3. Vstupní data cloud'!$L89+'3. Vstupní data cloud'!$L90)/DelkaProjektu,)))</f>
        <v>0</v>
      </c>
      <c r="F159" s="635">
        <f>IF('3. Vstupní data cloud'!$D$121="ANO",0,IF('3. Vstupní data cloud'!$D$121="NE",IF(DelkaProjektu&gt;=F$145,('3. Vstupní data cloud'!$L89+'3. Vstupní data cloud'!$L90)/DelkaProjektu,)))</f>
        <v>0</v>
      </c>
      <c r="G159" s="635">
        <f>IF('3. Vstupní data cloud'!$D$121="ANO",0,IF('3. Vstupní data cloud'!$D$121="NE",IF(DelkaProjektu&gt;=G$145,('3. Vstupní data cloud'!$L89+'3. Vstupní data cloud'!$L90)/DelkaProjektu,)))</f>
        <v>0</v>
      </c>
      <c r="H159" s="635">
        <f>IF('3. Vstupní data cloud'!$D$121="ANO",0,IF('3. Vstupní data cloud'!$D$121="NE",IF(DelkaProjektu&gt;=H$145,('3. Vstupní data cloud'!$L89+'3. Vstupní data cloud'!$L90)/DelkaProjektu,)))</f>
        <v>0</v>
      </c>
      <c r="I159" s="635">
        <f>IF('3. Vstupní data cloud'!$D$121="ANO",0,IF('3. Vstupní data cloud'!$D$121="NE",IF(DelkaProjektu&gt;=I$145,('3. Vstupní data cloud'!$L89+'3. Vstupní data cloud'!$L90)/DelkaProjektu,)))</f>
        <v>0</v>
      </c>
      <c r="J159" s="692">
        <f>SUM(E159:I159)</f>
        <v>0</v>
      </c>
      <c r="K159" s="613"/>
      <c r="L159" s="603" t="s">
        <v>475</v>
      </c>
    </row>
    <row r="160" spans="2:12" x14ac:dyDescent="0.3">
      <c r="B160" s="633" t="s">
        <v>323</v>
      </c>
      <c r="C160" s="646" t="s">
        <v>508</v>
      </c>
      <c r="D160" s="646" t="str">
        <f t="shared" si="34"/>
        <v>Kč</v>
      </c>
      <c r="E160" s="635">
        <f>IF('3. Vstupní data cloud'!$D$121="ANO",'3. Vstupní data cloud'!$L91+'3. Vstupní data cloud'!$L92,IF('3. Vstupní data cloud'!$D$121="NE",IF(DelkaProjektu&gt;=E$145,('3. Vstupní data cloud'!$L91+'3. Vstupní data cloud'!$L92)/DelkaProjektu,)))</f>
        <v>0</v>
      </c>
      <c r="F160" s="635">
        <f>IF('3. Vstupní data cloud'!$D$121="ANO",0,IF('3. Vstupní data cloud'!$D$121="NE",IF(DelkaProjektu&gt;=F$145,('3. Vstupní data cloud'!$L91+'3. Vstupní data cloud'!$L92)/DelkaProjektu,)))</f>
        <v>0</v>
      </c>
      <c r="G160" s="635">
        <f>IF('3. Vstupní data cloud'!$D$121="ANO",0,IF('3. Vstupní data cloud'!$D$121="NE",IF(DelkaProjektu&gt;=G$145,('3. Vstupní data cloud'!$L91+'3. Vstupní data cloud'!$L92)/DelkaProjektu,)))</f>
        <v>0</v>
      </c>
      <c r="H160" s="635">
        <f>IF('3. Vstupní data cloud'!$D$121="ANO",0,IF('3. Vstupní data cloud'!$D$121="NE",IF(DelkaProjektu&gt;=H$145,('3. Vstupní data cloud'!$L91+'3. Vstupní data cloud'!$L92)/DelkaProjektu,)))</f>
        <v>0</v>
      </c>
      <c r="I160" s="635">
        <f>IF('3. Vstupní data cloud'!$D$121="ANO",0,IF('3. Vstupní data cloud'!$D$121="NE",IF(DelkaProjektu&gt;=I$145,('3. Vstupní data cloud'!$L91+'3. Vstupní data cloud'!$L92)/DelkaProjektu,)))</f>
        <v>0</v>
      </c>
      <c r="J160" s="692">
        <f t="shared" ref="J160:J171" si="43">SUM(E160:I160)</f>
        <v>0</v>
      </c>
      <c r="K160" s="613"/>
      <c r="L160" s="603" t="s">
        <v>475</v>
      </c>
    </row>
    <row r="161" spans="2:12" x14ac:dyDescent="0.3">
      <c r="B161" s="633" t="s">
        <v>320</v>
      </c>
      <c r="C161" s="658" t="s">
        <v>509</v>
      </c>
      <c r="D161" s="646" t="str">
        <f t="shared" si="34"/>
        <v>Kč</v>
      </c>
      <c r="E161" s="635">
        <f>IF('3. Vstupní data cloud'!$D$121="ANO",'3. Vstupní data cloud'!$L93+'3. Vstupní data cloud'!$L94+'3. Vstupní data cloud'!$L95+'3. Vstupní data cloud'!$L96,IF('3. Vstupní data cloud'!$D$121="NE",IF(DelkaProjektu&gt;=E$145,('3. Vstupní data cloud'!$L93+'3. Vstupní data cloud'!$L95+'3. Vstupní data cloud'!$L94+'3. Vstupní data cloud'!$L96)/DelkaProjektu,)))</f>
        <v>0</v>
      </c>
      <c r="F161" s="635">
        <f>IF('3. Vstupní data cloud'!$D$121="ANO",0,IF('3. Vstupní data cloud'!$D$121="NE",IF(DelkaProjektu&gt;=F$145,('3. Vstupní data cloud'!$L93+'3. Vstupní data cloud'!$L95+'3. Vstupní data cloud'!$L94+'3. Vstupní data cloud'!$L96)/DelkaProjektu,)))</f>
        <v>0</v>
      </c>
      <c r="G161" s="635">
        <f>IF('3. Vstupní data cloud'!$D$121="ANO",0,IF('3. Vstupní data cloud'!$D$121="NE",IF(DelkaProjektu&gt;=G$145,('3. Vstupní data cloud'!$L93+'3. Vstupní data cloud'!$L95+'3. Vstupní data cloud'!$L94+'3. Vstupní data cloud'!$L96)/DelkaProjektu,)))</f>
        <v>0</v>
      </c>
      <c r="H161" s="635">
        <f>IF('3. Vstupní data cloud'!$D$121="ANO",0,IF('3. Vstupní data cloud'!$D$121="NE",IF(DelkaProjektu&gt;=H$145,('3. Vstupní data cloud'!$L93+'3. Vstupní data cloud'!$L95+'3. Vstupní data cloud'!$L94+'3. Vstupní data cloud'!$L96)/DelkaProjektu,)))</f>
        <v>0</v>
      </c>
      <c r="I161" s="635">
        <f>IF('3. Vstupní data cloud'!$D$121="ANO",0,IF('3. Vstupní data cloud'!$D$121="NE",IF(DelkaProjektu&gt;=I$145,('3. Vstupní data cloud'!$L93+'3. Vstupní data cloud'!$L95+'3. Vstupní data cloud'!$L94+'3. Vstupní data cloud'!$L96)/DelkaProjektu,)))</f>
        <v>0</v>
      </c>
      <c r="J161" s="692">
        <f t="shared" si="43"/>
        <v>0</v>
      </c>
      <c r="K161" s="613"/>
      <c r="L161" s="603" t="s">
        <v>475</v>
      </c>
    </row>
    <row r="162" spans="2:12" x14ac:dyDescent="0.3">
      <c r="B162" s="633" t="s">
        <v>510</v>
      </c>
      <c r="C162" s="658" t="s">
        <v>511</v>
      </c>
      <c r="D162" s="646" t="str">
        <f t="shared" si="34"/>
        <v>Kč</v>
      </c>
      <c r="E162" s="635">
        <f>IF('3. Vstupní data cloud'!$D$121="ANO",'3. Vstupní data cloud'!$L97+'3. Vstupní data cloud'!$L99+'3. Vstupní data cloud'!$L98+'3. Vstupní data cloud'!$L100,IF('3. Vstupní data cloud'!$D$121="NE",IF(DelkaProjektu&gt;=E$145,('3. Vstupní data cloud'!$L97+'3. Vstupní data cloud'!$L99+'3. Vstupní data cloud'!$L98+'3. Vstupní data cloud'!$L100)/DelkaProjektu,)))</f>
        <v>0</v>
      </c>
      <c r="F162" s="635">
        <f>IF('3. Vstupní data cloud'!$D$121="ANO",0,IF('3. Vstupní data cloud'!$D$121="NE",IF(DelkaProjektu&gt;=F$145,('3. Vstupní data cloud'!$L97+'3. Vstupní data cloud'!$L99+'3. Vstupní data cloud'!$L98+'3. Vstupní data cloud'!$L100)/DelkaProjektu,)))</f>
        <v>0</v>
      </c>
      <c r="G162" s="635">
        <f>IF('3. Vstupní data cloud'!$D$121="ANO",0,IF('3. Vstupní data cloud'!$D$121="NE",IF(DelkaProjektu&gt;=G$145,('3. Vstupní data cloud'!$L97+'3. Vstupní data cloud'!$L99+'3. Vstupní data cloud'!$L98+'3. Vstupní data cloud'!$L100)/DelkaProjektu,)))</f>
        <v>0</v>
      </c>
      <c r="H162" s="635">
        <f>IF('3. Vstupní data cloud'!$D$121="ANO",0,IF('3. Vstupní data cloud'!$D$121="NE",IF(DelkaProjektu&gt;=H$145,('3. Vstupní data cloud'!$L97+'3. Vstupní data cloud'!$L99+'3. Vstupní data cloud'!$L98+'3. Vstupní data cloud'!$L100)/DelkaProjektu,)))</f>
        <v>0</v>
      </c>
      <c r="I162" s="635">
        <f>IF('3. Vstupní data cloud'!$D$121="ANO",0,IF('3. Vstupní data cloud'!$D$121="NE",IF(DelkaProjektu&gt;=I$145,('3. Vstupní data cloud'!$L97+'3. Vstupní data cloud'!$L99+'3. Vstupní data cloud'!$L98+'3. Vstupní data cloud'!$L100)/DelkaProjektu,)))</f>
        <v>0</v>
      </c>
      <c r="J162" s="692">
        <f t="shared" si="43"/>
        <v>0</v>
      </c>
      <c r="K162" s="613"/>
      <c r="L162" s="603" t="s">
        <v>475</v>
      </c>
    </row>
    <row r="163" spans="2:12" x14ac:dyDescent="0.3">
      <c r="B163" s="633" t="s">
        <v>328</v>
      </c>
      <c r="C163" s="658" t="s">
        <v>327</v>
      </c>
      <c r="D163" s="646" t="str">
        <f t="shared" si="34"/>
        <v>Kč</v>
      </c>
      <c r="E163" s="635">
        <f>IF('3. Vstupní data cloud'!$D$121="ANO",'3. Vstupní data cloud'!$L101+'3. Vstupní data cloud'!$L102,IF('3. Vstupní data cloud'!$D$121="NE",IF(DelkaProjektu&gt;=E$145,('3. Vstupní data cloud'!$L101+'3. Vstupní data cloud'!$L102)/DelkaProjektu,)))</f>
        <v>0</v>
      </c>
      <c r="F163" s="635">
        <f>IF('3. Vstupní data cloud'!$D$121="ANO",0,IF('3. Vstupní data cloud'!$D$121="NE",IF(DelkaProjektu&gt;=F$145,('3. Vstupní data cloud'!$L101+'3. Vstupní data cloud'!$L102)/DelkaProjektu,)))</f>
        <v>0</v>
      </c>
      <c r="G163" s="635">
        <f>IF('3. Vstupní data cloud'!$D$121="ANO",0,IF('3. Vstupní data cloud'!$D$121="NE",IF(DelkaProjektu&gt;=G$145,('3. Vstupní data cloud'!$L101+'3. Vstupní data cloud'!$L102)/DelkaProjektu,)))</f>
        <v>0</v>
      </c>
      <c r="H163" s="635">
        <f>IF('3. Vstupní data cloud'!$D$121="ANO",0,IF('3. Vstupní data cloud'!$D$121="NE",IF(DelkaProjektu&gt;=H$145,('3. Vstupní data cloud'!$L101+'3. Vstupní data cloud'!$L102)/DelkaProjektu,)))</f>
        <v>0</v>
      </c>
      <c r="I163" s="635">
        <f>IF('3. Vstupní data cloud'!$D$121="ANO",0,IF('3. Vstupní data cloud'!$D$121="NE",IF(DelkaProjektu&gt;=I$145,('3. Vstupní data cloud'!$L101+'3. Vstupní data cloud'!$L102)/DelkaProjektu,)))</f>
        <v>0</v>
      </c>
      <c r="J163" s="692">
        <f t="shared" si="43"/>
        <v>0</v>
      </c>
      <c r="K163" s="613"/>
      <c r="L163" s="603" t="s">
        <v>475</v>
      </c>
    </row>
    <row r="164" spans="2:12" x14ac:dyDescent="0.3">
      <c r="B164" s="633" t="s">
        <v>330</v>
      </c>
      <c r="C164" s="646" t="s">
        <v>512</v>
      </c>
      <c r="D164" s="646" t="str">
        <f t="shared" si="34"/>
        <v>Kč</v>
      </c>
      <c r="E164" s="635">
        <f>IF('3. Vstupní data cloud'!$D$121="ANO",'3. Vstupní data cloud'!$L103+'3. Vstupní data cloud'!$L104,IF('3. Vstupní data cloud'!$D$121="NE",IF(DelkaProjektu&gt;=E$145,('3. Vstupní data cloud'!$L103+'3. Vstupní data cloud'!$L104)/DelkaProjektu,)))</f>
        <v>0</v>
      </c>
      <c r="F164" s="635">
        <f>IF('3. Vstupní data cloud'!$D$121="ANO",0,IF('3. Vstupní data cloud'!$D$121="NE",IF(DelkaProjektu&gt;=F$145,('3. Vstupní data cloud'!$L103+'3. Vstupní data cloud'!$L104)/DelkaProjektu,)))</f>
        <v>0</v>
      </c>
      <c r="G164" s="635">
        <f>IF('3. Vstupní data cloud'!$D$121="ANO",0,IF('3. Vstupní data cloud'!$D$121="NE",IF(DelkaProjektu&gt;=G$145,('3. Vstupní data cloud'!$L103+'3. Vstupní data cloud'!$L104)/DelkaProjektu,)))</f>
        <v>0</v>
      </c>
      <c r="H164" s="635">
        <f>IF('3. Vstupní data cloud'!$D$121="ANO",0,IF('3. Vstupní data cloud'!$D$121="NE",IF(DelkaProjektu&gt;=H$145,('3. Vstupní data cloud'!$L103+'3. Vstupní data cloud'!$L104)/DelkaProjektu,)))</f>
        <v>0</v>
      </c>
      <c r="I164" s="635">
        <f>IF('3. Vstupní data cloud'!$D$121="ANO",0,IF('3. Vstupní data cloud'!$D$121="NE",IF(DelkaProjektu&gt;=I$145,('3. Vstupní data cloud'!$L103+'3. Vstupní data cloud'!$L104)/DelkaProjektu,)))</f>
        <v>0</v>
      </c>
      <c r="J164" s="692">
        <f t="shared" si="43"/>
        <v>0</v>
      </c>
      <c r="K164" s="613"/>
      <c r="L164" s="603" t="s">
        <v>475</v>
      </c>
    </row>
    <row r="165" spans="2:12" x14ac:dyDescent="0.3">
      <c r="B165" s="633" t="s">
        <v>332</v>
      </c>
      <c r="C165" s="646" t="s">
        <v>513</v>
      </c>
      <c r="D165" s="646" t="str">
        <f t="shared" si="34"/>
        <v>Kč</v>
      </c>
      <c r="E165" s="635">
        <f>IF('3. Vstupní data cloud'!$D$121="ANO",'3. Vstupní data cloud'!$L105+'3. Vstupní data cloud'!$L106,IF('3. Vstupní data cloud'!$D$121="NE",IF(DelkaProjektu&gt;=E$145,('3. Vstupní data cloud'!$L105+'3. Vstupní data cloud'!$L106)/DelkaProjektu,)))</f>
        <v>0</v>
      </c>
      <c r="F165" s="635">
        <f>IF('3. Vstupní data cloud'!$D$121="ANO",0,IF('3. Vstupní data cloud'!$D$121="NE",IF(DelkaProjektu&gt;=F$145,('3. Vstupní data cloud'!$L105+'3. Vstupní data cloud'!$L106)/DelkaProjektu,)))</f>
        <v>0</v>
      </c>
      <c r="G165" s="635">
        <f>IF('3. Vstupní data cloud'!$D$121="ANO",0,IF('3. Vstupní data cloud'!$D$121="NE",IF(DelkaProjektu&gt;=G$145,('3. Vstupní data cloud'!$L105+'3. Vstupní data cloud'!$L106)/DelkaProjektu,)))</f>
        <v>0</v>
      </c>
      <c r="H165" s="635">
        <f>IF('3. Vstupní data cloud'!$D$121="ANO",0,IF('3. Vstupní data cloud'!$D$121="NE",IF(DelkaProjektu&gt;=H$145,('3. Vstupní data cloud'!$L105+'3. Vstupní data cloud'!$L106)/DelkaProjektu,)))</f>
        <v>0</v>
      </c>
      <c r="I165" s="635">
        <f>IF('3. Vstupní data cloud'!$D$121="ANO",0,IF('3. Vstupní data cloud'!$D$121="NE",IF(DelkaProjektu&gt;=I$145,('3. Vstupní data cloud'!$L105+'3. Vstupní data cloud'!$L106)/DelkaProjektu,)))</f>
        <v>0</v>
      </c>
      <c r="J165" s="692">
        <f t="shared" si="43"/>
        <v>0</v>
      </c>
      <c r="K165" s="613"/>
      <c r="L165" s="603" t="s">
        <v>475</v>
      </c>
    </row>
    <row r="166" spans="2:12" x14ac:dyDescent="0.3">
      <c r="B166" s="633" t="s">
        <v>334</v>
      </c>
      <c r="C166" s="646" t="s">
        <v>333</v>
      </c>
      <c r="D166" s="646" t="str">
        <f t="shared" si="34"/>
        <v>Kč</v>
      </c>
      <c r="E166" s="635">
        <f>IF('3. Vstupní data cloud'!$D$121="ANO",'3. Vstupní data cloud'!$L107+'3. Vstupní data cloud'!$L108,IF('3. Vstupní data cloud'!$D$121="NE",IF(DelkaProjektu&gt;=E$145,('3. Vstupní data cloud'!$L107+'3. Vstupní data cloud'!$L108)/DelkaProjektu,)))</f>
        <v>0</v>
      </c>
      <c r="F166" s="635">
        <f>IF('3. Vstupní data cloud'!$D$121="ANO",0,IF('3. Vstupní data cloud'!$D$121="NE",IF(DelkaProjektu&gt;=F$145,('3. Vstupní data cloud'!$L107+'3. Vstupní data cloud'!$L108)/DelkaProjektu,)))</f>
        <v>0</v>
      </c>
      <c r="G166" s="635">
        <f>IF('3. Vstupní data cloud'!$D$121="ANO",0,IF('3. Vstupní data cloud'!$D$121="NE",IF(DelkaProjektu&gt;=G$145,('3. Vstupní data cloud'!$L107+'3. Vstupní data cloud'!$L108)/DelkaProjektu,)))</f>
        <v>0</v>
      </c>
      <c r="H166" s="635">
        <f>IF('3. Vstupní data cloud'!$D$121="ANO",0,IF('3. Vstupní data cloud'!$D$121="NE",IF(DelkaProjektu&gt;=H$145,('3. Vstupní data cloud'!$L107+'3. Vstupní data cloud'!$L108)/DelkaProjektu,)))</f>
        <v>0</v>
      </c>
      <c r="I166" s="635">
        <f>IF('3. Vstupní data cloud'!$D$121="ANO",0,IF('3. Vstupní data cloud'!$D$121="NE",IF(DelkaProjektu&gt;=I$145,('3. Vstupní data cloud'!$L107+'3. Vstupní data cloud'!$L108)/DelkaProjektu,)))</f>
        <v>0</v>
      </c>
      <c r="J166" s="692">
        <f t="shared" si="43"/>
        <v>0</v>
      </c>
      <c r="K166" s="613"/>
      <c r="L166" s="603" t="s">
        <v>475</v>
      </c>
    </row>
    <row r="167" spans="2:12" x14ac:dyDescent="0.3">
      <c r="B167" s="633" t="s">
        <v>336</v>
      </c>
      <c r="C167" s="646" t="s">
        <v>335</v>
      </c>
      <c r="D167" s="646" t="str">
        <f t="shared" si="34"/>
        <v>Kč</v>
      </c>
      <c r="E167" s="635">
        <f>IF('3. Vstupní data cloud'!$D$121="ANO",'3. Vstupní data cloud'!$L109+'3. Vstupní data cloud'!$L110,IF('3. Vstupní data cloud'!$D$121="NE",IF(DelkaProjektu&gt;=E$145,('3. Vstupní data cloud'!$L109+'3. Vstupní data cloud'!$L110)/DelkaProjektu,)))</f>
        <v>0</v>
      </c>
      <c r="F167" s="635">
        <f>IF('3. Vstupní data cloud'!$D$121="ANO",0,IF('3. Vstupní data cloud'!$D$121="NE",IF(DelkaProjektu&gt;=F$145,('3. Vstupní data cloud'!$L109+'3. Vstupní data cloud'!$L110)/DelkaProjektu,)))</f>
        <v>0</v>
      </c>
      <c r="G167" s="635">
        <f>IF('3. Vstupní data cloud'!$D$121="ANO",0,IF('3. Vstupní data cloud'!$D$121="NE",IF(DelkaProjektu&gt;=G$145,('3. Vstupní data cloud'!$L109+'3. Vstupní data cloud'!$L110)/DelkaProjektu,)))</f>
        <v>0</v>
      </c>
      <c r="H167" s="635">
        <f>IF('3. Vstupní data cloud'!$D$121="ANO",0,IF('3. Vstupní data cloud'!$D$121="NE",IF(DelkaProjektu&gt;=H$145,('3. Vstupní data cloud'!$L109+'3. Vstupní data cloud'!$L110)/DelkaProjektu,)))</f>
        <v>0</v>
      </c>
      <c r="I167" s="635">
        <f>IF('3. Vstupní data cloud'!$D$121="ANO",0,IF('3. Vstupní data cloud'!$D$121="NE",IF(DelkaProjektu&gt;=I$145,('3. Vstupní data cloud'!$L109+'3. Vstupní data cloud'!$L110)/DelkaProjektu,)))</f>
        <v>0</v>
      </c>
      <c r="J167" s="692">
        <f t="shared" si="43"/>
        <v>0</v>
      </c>
      <c r="K167" s="613"/>
      <c r="L167" s="603" t="s">
        <v>475</v>
      </c>
    </row>
    <row r="168" spans="2:12" x14ac:dyDescent="0.3">
      <c r="B168" s="633" t="s">
        <v>338</v>
      </c>
      <c r="C168" s="646" t="s">
        <v>337</v>
      </c>
      <c r="D168" s="646" t="str">
        <f t="shared" si="34"/>
        <v>Kč</v>
      </c>
      <c r="E168" s="635">
        <f>IF('3. Vstupní data cloud'!$D$121="ANO",'3. Vstupní data cloud'!$L111+'3. Vstupní data cloud'!$L112,IF('3. Vstupní data cloud'!$D$121="NE",IF(DelkaProjektu&gt;=E$145,('3. Vstupní data cloud'!$L111+'3. Vstupní data cloud'!$L112)/DelkaProjektu,)))</f>
        <v>0</v>
      </c>
      <c r="F168" s="635">
        <f>IF('3. Vstupní data cloud'!$D$121="ANO",0,IF('3. Vstupní data cloud'!$D$121="NE",IF(DelkaProjektu&gt;=F$145,('3. Vstupní data cloud'!$L111+'3. Vstupní data cloud'!$L112)/DelkaProjektu,)))</f>
        <v>0</v>
      </c>
      <c r="G168" s="635">
        <f>IF('3. Vstupní data cloud'!$D$121="ANO",0,IF('3. Vstupní data cloud'!$D$121="NE",IF(DelkaProjektu&gt;=G$145,('3. Vstupní data cloud'!$L111+'3. Vstupní data cloud'!$L112)/DelkaProjektu,)))</f>
        <v>0</v>
      </c>
      <c r="H168" s="635">
        <f>IF('3. Vstupní data cloud'!$D$121="ANO",0,IF('3. Vstupní data cloud'!$D$121="NE",IF(DelkaProjektu&gt;=H$145,('3. Vstupní data cloud'!$L111+'3. Vstupní data cloud'!$L112)/DelkaProjektu,)))</f>
        <v>0</v>
      </c>
      <c r="I168" s="635">
        <f>IF('3. Vstupní data cloud'!$D$121="ANO",0,IF('3. Vstupní data cloud'!$D$121="NE",IF(DelkaProjektu&gt;=I$145,('3. Vstupní data cloud'!$L111+'3. Vstupní data cloud'!$L112)/DelkaProjektu,)))</f>
        <v>0</v>
      </c>
      <c r="J168" s="692">
        <f t="shared" si="43"/>
        <v>0</v>
      </c>
      <c r="K168" s="613"/>
      <c r="L168" s="603" t="s">
        <v>475</v>
      </c>
    </row>
    <row r="169" spans="2:12" x14ac:dyDescent="0.3">
      <c r="B169" s="633" t="s">
        <v>340</v>
      </c>
      <c r="C169" s="646" t="s">
        <v>339</v>
      </c>
      <c r="D169" s="646" t="str">
        <f t="shared" si="34"/>
        <v>Kč</v>
      </c>
      <c r="E169" s="635">
        <f>IF('3. Vstupní data cloud'!$D$121="ANO",'3. Vstupní data cloud'!$L113+'3. Vstupní data cloud'!$L114,IF('3. Vstupní data cloud'!$D$121="NE",IF(DelkaProjektu&gt;=E$145,('3. Vstupní data cloud'!$L113+'3. Vstupní data cloud'!$L114)/DelkaProjektu,)))</f>
        <v>0</v>
      </c>
      <c r="F169" s="635">
        <f>IF('3. Vstupní data cloud'!$D$121="ANO",0,IF('3. Vstupní data cloud'!$D$121="NE",IF(DelkaProjektu&gt;=F$145,('3. Vstupní data cloud'!$L113+'3. Vstupní data cloud'!$L114)/DelkaProjektu,)))</f>
        <v>0</v>
      </c>
      <c r="G169" s="635">
        <f>IF('3. Vstupní data cloud'!$D$121="ANO",0,IF('3. Vstupní data cloud'!$D$121="NE",IF(DelkaProjektu&gt;=G$145,('3. Vstupní data cloud'!$L113+'3. Vstupní data cloud'!$L114)/DelkaProjektu,)))</f>
        <v>0</v>
      </c>
      <c r="H169" s="635">
        <f>IF('3. Vstupní data cloud'!$D$121="ANO",0,IF('3. Vstupní data cloud'!$D$121="NE",IF(DelkaProjektu&gt;=H$145,('3. Vstupní data cloud'!$L113+'3. Vstupní data cloud'!$L114)/DelkaProjektu,)))</f>
        <v>0</v>
      </c>
      <c r="I169" s="635">
        <f>IF('3. Vstupní data cloud'!$D$121="ANO",0,IF('3. Vstupní data cloud'!$D$121="NE",IF(DelkaProjektu&gt;=I$145,('3. Vstupní data cloud'!$L113+'3. Vstupní data cloud'!$L114)/DelkaProjektu,)))</f>
        <v>0</v>
      </c>
      <c r="J169" s="692">
        <f t="shared" si="43"/>
        <v>0</v>
      </c>
      <c r="K169" s="613"/>
      <c r="L169" s="603" t="s">
        <v>475</v>
      </c>
    </row>
    <row r="170" spans="2:12" x14ac:dyDescent="0.3">
      <c r="B170" s="633" t="s">
        <v>342</v>
      </c>
      <c r="C170" s="646" t="s">
        <v>514</v>
      </c>
      <c r="D170" s="646" t="str">
        <f t="shared" si="34"/>
        <v>Kč</v>
      </c>
      <c r="E170" s="635">
        <f>IF('3. Vstupní data cloud'!$D$121="ANO",'3. Vstupní data cloud'!$L115+'3. Vstupní data cloud'!$L116,IF('3. Vstupní data cloud'!$D$121="NE",IF(DelkaProjektu&gt;=E$145,('3. Vstupní data cloud'!$L115+'3. Vstupní data cloud'!$L116)/DelkaProjektu,)))</f>
        <v>0</v>
      </c>
      <c r="F170" s="635">
        <f>IF('3. Vstupní data cloud'!$D$121="ANO",0,IF('3. Vstupní data cloud'!$D$121="NE",IF(DelkaProjektu&gt;=F$145,('3. Vstupní data cloud'!$L115+'3. Vstupní data cloud'!$L116)/DelkaProjektu,)))</f>
        <v>0</v>
      </c>
      <c r="G170" s="635">
        <f>IF('3. Vstupní data cloud'!$D$121="ANO",0,IF('3. Vstupní data cloud'!$D$121="NE",IF(DelkaProjektu&gt;=G$145,('3. Vstupní data cloud'!$L115+'3. Vstupní data cloud'!$L116)/DelkaProjektu,)))</f>
        <v>0</v>
      </c>
      <c r="H170" s="635">
        <f>IF('3. Vstupní data cloud'!$D$121="ANO",0,IF('3. Vstupní data cloud'!$D$121="NE",IF(DelkaProjektu&gt;=H$145,('3. Vstupní data cloud'!$L115+'3. Vstupní data cloud'!$L116)/DelkaProjektu,)))</f>
        <v>0</v>
      </c>
      <c r="I170" s="635">
        <f>IF('3. Vstupní data cloud'!$D$121="ANO",0,IF('3. Vstupní data cloud'!$D$121="NE",IF(DelkaProjektu&gt;=I$145,('3. Vstupní data cloud'!$L115+'3. Vstupní data cloud'!$L116)/DelkaProjektu,)))</f>
        <v>0</v>
      </c>
      <c r="J170" s="692">
        <f t="shared" si="43"/>
        <v>0</v>
      </c>
      <c r="K170" s="613"/>
      <c r="L170" s="603" t="s">
        <v>475</v>
      </c>
    </row>
    <row r="171" spans="2:12" x14ac:dyDescent="0.3">
      <c r="B171" s="633" t="s">
        <v>346</v>
      </c>
      <c r="C171" s="646" t="s">
        <v>515</v>
      </c>
      <c r="D171" s="646" t="str">
        <f t="shared" si="34"/>
        <v>Kč</v>
      </c>
      <c r="E171" s="635">
        <f>IF('3. Vstupní data cloud'!$D$121="ANO",'3. Vstupní data cloud'!$L118+'3. Vstupní data cloud'!$L117,IF('3. Vstupní data cloud'!$D$121="NE",IF(DelkaProjektu&gt;=E$145,('3. Vstupní data cloud'!$L118+'3. Vstupní data cloud'!$L117)/DelkaProjektu,)))</f>
        <v>0</v>
      </c>
      <c r="F171" s="635">
        <f>IF('3. Vstupní data cloud'!$D$121="ANO",0,IF('3. Vstupní data cloud'!$D$121="NE",IF(DelkaProjektu&gt;=F$145,('3. Vstupní data cloud'!$L118+'3. Vstupní data cloud'!$L117)/DelkaProjektu,)))</f>
        <v>0</v>
      </c>
      <c r="G171" s="635">
        <f>IF('3. Vstupní data cloud'!$D$121="ANO",0,IF('3. Vstupní data cloud'!$D$121="NE",IF(DelkaProjektu&gt;=G$145,('3. Vstupní data cloud'!$L118+'3. Vstupní data cloud'!$L117)/DelkaProjektu,)))</f>
        <v>0</v>
      </c>
      <c r="H171" s="635">
        <f>IF('3. Vstupní data cloud'!$D$121="ANO",0,IF('3. Vstupní data cloud'!$D$121="NE",IF(DelkaProjektu&gt;=H$145,('3. Vstupní data cloud'!$L118+'3. Vstupní data cloud'!$L117)/DelkaProjektu,)))</f>
        <v>0</v>
      </c>
      <c r="I171" s="635">
        <f>IF('3. Vstupní data cloud'!$D$121="ANO",0,IF('3. Vstupní data cloud'!$D$121="NE",IF(DelkaProjektu&gt;=I$145,('3. Vstupní data cloud'!$L118+'3. Vstupní data cloud'!$L117)/DelkaProjektu,)))</f>
        <v>0</v>
      </c>
      <c r="J171" s="692">
        <f t="shared" si="43"/>
        <v>0</v>
      </c>
      <c r="K171" s="613"/>
      <c r="L171" s="603" t="s">
        <v>475</v>
      </c>
    </row>
    <row r="172" spans="2:12" x14ac:dyDescent="0.3">
      <c r="B172" s="654" t="s">
        <v>516</v>
      </c>
      <c r="C172" s="655" t="s">
        <v>517</v>
      </c>
      <c r="D172" s="655" t="str">
        <f t="shared" si="34"/>
        <v>Kč</v>
      </c>
      <c r="E172" s="656">
        <f>E173+E180+E189+E190+E187</f>
        <v>0</v>
      </c>
      <c r="F172" s="656">
        <f t="shared" ref="F172:H172" si="44">F173+F180+F189+F190+F187</f>
        <v>0</v>
      </c>
      <c r="G172" s="656">
        <f t="shared" si="44"/>
        <v>0</v>
      </c>
      <c r="H172" s="656">
        <f t="shared" si="44"/>
        <v>0</v>
      </c>
      <c r="I172" s="656">
        <f>I173+I180+I189+I190+I187</f>
        <v>0</v>
      </c>
      <c r="J172" s="656">
        <f>SUM(E172:I172)</f>
        <v>0</v>
      </c>
      <c r="K172" s="613"/>
      <c r="L172" s="601"/>
    </row>
    <row r="173" spans="2:12" x14ac:dyDescent="0.3">
      <c r="B173" s="633" t="s">
        <v>518</v>
      </c>
      <c r="C173" s="659" t="s">
        <v>519</v>
      </c>
      <c r="D173" s="646" t="str">
        <f t="shared" si="34"/>
        <v>Kč</v>
      </c>
      <c r="E173" s="635">
        <f>SUM(E174:E179)</f>
        <v>0</v>
      </c>
      <c r="F173" s="635">
        <f t="shared" ref="F173:I173" si="45">SUM(F174:F179)</f>
        <v>0</v>
      </c>
      <c r="G173" s="635">
        <f t="shared" si="45"/>
        <v>0</v>
      </c>
      <c r="H173" s="635">
        <f t="shared" si="45"/>
        <v>0</v>
      </c>
      <c r="I173" s="635">
        <f t="shared" si="45"/>
        <v>0</v>
      </c>
      <c r="J173" s="636">
        <f>SUM(E173:I173)</f>
        <v>0</v>
      </c>
      <c r="K173" s="613"/>
      <c r="L173" s="603" t="s">
        <v>475</v>
      </c>
    </row>
    <row r="174" spans="2:12" outlineLevel="1" x14ac:dyDescent="0.3">
      <c r="B174" s="641" t="s">
        <v>253</v>
      </c>
      <c r="C174" s="660" t="s">
        <v>520</v>
      </c>
      <c r="D174" s="642" t="str">
        <f t="shared" si="34"/>
        <v>Kč</v>
      </c>
      <c r="E174" s="643">
        <f>IF(DelkaProjektu&gt;=E$145,'3. Vstupní data cloud'!$L24,0)</f>
        <v>0</v>
      </c>
      <c r="F174" s="643">
        <f>IF(DelkaProjektu&gt;=F$145,'3. Vstupní data cloud'!$L24,0)</f>
        <v>0</v>
      </c>
      <c r="G174" s="643">
        <f>IF(DelkaProjektu&gt;=G$145,'3. Vstupní data cloud'!$L24,0)</f>
        <v>0</v>
      </c>
      <c r="H174" s="643">
        <f>IF(DelkaProjektu&gt;=H$145,'3. Vstupní data cloud'!$L24,0)</f>
        <v>0</v>
      </c>
      <c r="I174" s="643">
        <f>IF(DelkaProjektu&gt;=I$145,'3. Vstupní data cloud'!$L24,0)</f>
        <v>0</v>
      </c>
      <c r="J174" s="644">
        <f>SUM(E174:I174)</f>
        <v>0</v>
      </c>
      <c r="K174" s="613"/>
      <c r="L174" s="603" t="s">
        <v>475</v>
      </c>
    </row>
    <row r="175" spans="2:12" outlineLevel="1" x14ac:dyDescent="0.3">
      <c r="B175" s="641" t="s">
        <v>257</v>
      </c>
      <c r="C175" s="660" t="s">
        <v>521</v>
      </c>
      <c r="D175" s="642" t="str">
        <f t="shared" si="34"/>
        <v>Kč</v>
      </c>
      <c r="E175" s="643">
        <f>IF(DelkaProjektu&gt;=E$145,'3. Vstupní data cloud'!$L26+'3. Vstupní data cloud'!$L32,0)</f>
        <v>0</v>
      </c>
      <c r="F175" s="643">
        <f>IF(DelkaProjektu&gt;=F$145,'3. Vstupní data cloud'!$L26+'3. Vstupní data cloud'!$L32,0)</f>
        <v>0</v>
      </c>
      <c r="G175" s="643">
        <f>IF(DelkaProjektu&gt;=G$145,'3. Vstupní data cloud'!$L26+'3. Vstupní data cloud'!$L32,0)</f>
        <v>0</v>
      </c>
      <c r="H175" s="643">
        <f>IF(DelkaProjektu&gt;=H$145,'3. Vstupní data cloud'!$L26+'3. Vstupní data cloud'!$L32,0)</f>
        <v>0</v>
      </c>
      <c r="I175" s="643">
        <f>IF(DelkaProjektu&gt;=I$145,'3. Vstupní data cloud'!$L26+'3. Vstupní data cloud'!$L32,0)</f>
        <v>0</v>
      </c>
      <c r="J175" s="644">
        <f t="shared" ref="J175:J179" si="46">SUM(E175:I175)</f>
        <v>0</v>
      </c>
      <c r="K175" s="613"/>
      <c r="L175" s="603" t="s">
        <v>475</v>
      </c>
    </row>
    <row r="176" spans="2:12" outlineLevel="1" x14ac:dyDescent="0.3">
      <c r="B176" s="641" t="s">
        <v>261</v>
      </c>
      <c r="C176" s="660" t="s">
        <v>522</v>
      </c>
      <c r="D176" s="642" t="str">
        <f t="shared" si="34"/>
        <v>Kč</v>
      </c>
      <c r="E176" s="643">
        <f>IF(DelkaProjektu&gt;=E$145,'3. Vstupní data cloud'!$L28,0)</f>
        <v>0</v>
      </c>
      <c r="F176" s="643">
        <f>IF(DelkaProjektu&gt;=F$145,'3. Vstupní data cloud'!$L28,0)</f>
        <v>0</v>
      </c>
      <c r="G176" s="643">
        <f>IF(DelkaProjektu&gt;=G$145,'3. Vstupní data cloud'!$L28,0)</f>
        <v>0</v>
      </c>
      <c r="H176" s="643">
        <f>IF(DelkaProjektu&gt;=H$145,'3. Vstupní data cloud'!$L28,0)</f>
        <v>0</v>
      </c>
      <c r="I176" s="643">
        <f>IF(DelkaProjektu&gt;=I$145,'3. Vstupní data cloud'!$L28,0)</f>
        <v>0</v>
      </c>
      <c r="J176" s="644">
        <f t="shared" si="46"/>
        <v>0</v>
      </c>
      <c r="K176" s="613"/>
      <c r="L176" s="603" t="s">
        <v>475</v>
      </c>
    </row>
    <row r="177" spans="2:12" outlineLevel="1" x14ac:dyDescent="0.3">
      <c r="B177" s="641" t="s">
        <v>265</v>
      </c>
      <c r="C177" s="660" t="s">
        <v>523</v>
      </c>
      <c r="D177" s="642" t="str">
        <f t="shared" si="34"/>
        <v>Kč</v>
      </c>
      <c r="E177" s="643">
        <f>IF(DelkaProjektu&gt;=E$145,'3. Vstupní data cloud'!$L30,0)</f>
        <v>0</v>
      </c>
      <c r="F177" s="643">
        <f>IF(DelkaProjektu&gt;=F$145,'3. Vstupní data cloud'!$L30,0)</f>
        <v>0</v>
      </c>
      <c r="G177" s="643">
        <f>IF(DelkaProjektu&gt;=G$145,'3. Vstupní data cloud'!$L30,0)</f>
        <v>0</v>
      </c>
      <c r="H177" s="643">
        <f>IF(DelkaProjektu&gt;=H$145,'3. Vstupní data cloud'!$L30,0)</f>
        <v>0</v>
      </c>
      <c r="I177" s="643">
        <f>IF(DelkaProjektu&gt;=I$145,'3. Vstupní data cloud'!$L30,0)</f>
        <v>0</v>
      </c>
      <c r="J177" s="644">
        <f t="shared" si="46"/>
        <v>0</v>
      </c>
      <c r="K177" s="613"/>
      <c r="L177" s="603" t="s">
        <v>475</v>
      </c>
    </row>
    <row r="178" spans="2:12" outlineLevel="1" x14ac:dyDescent="0.3">
      <c r="B178" s="641" t="s">
        <v>242</v>
      </c>
      <c r="C178" s="660" t="s">
        <v>524</v>
      </c>
      <c r="D178" s="642" t="str">
        <f t="shared" ref="D178:D211" si="47">JenotkaMěny</f>
        <v>Kč</v>
      </c>
      <c r="E178" s="643">
        <f>IF(DelkaProjektu&gt;=E$145,'3. Vstupní data cloud'!$L15+'3. Vstupní data cloud'!$L16+'3. Vstupní data cloud'!$L17+'3. Vstupní data cloud'!$L18,0)</f>
        <v>0</v>
      </c>
      <c r="F178" s="643">
        <f>IF(DelkaProjektu&gt;=F$145,'3. Vstupní data cloud'!$L15+'3. Vstupní data cloud'!$L16+'3. Vstupní data cloud'!$L17+'3. Vstupní data cloud'!$L18,0)</f>
        <v>0</v>
      </c>
      <c r="G178" s="643">
        <f>IF(DelkaProjektu&gt;=G$145,'3. Vstupní data cloud'!$L15+'3. Vstupní data cloud'!$L16+'3. Vstupní data cloud'!$L17+'3. Vstupní data cloud'!$L18,0)</f>
        <v>0</v>
      </c>
      <c r="H178" s="643">
        <f>IF(DelkaProjektu&gt;=H$145,'3. Vstupní data cloud'!$L15+'3. Vstupní data cloud'!$L16+'3. Vstupní data cloud'!$L17+'3. Vstupní data cloud'!$L18,0)</f>
        <v>0</v>
      </c>
      <c r="I178" s="643">
        <f>IF(DelkaProjektu&gt;=I$145,'3. Vstupní data cloud'!$L15+'3. Vstupní data cloud'!$L16+'3. Vstupní data cloud'!$L17+'3. Vstupní data cloud'!$L18,0)</f>
        <v>0</v>
      </c>
      <c r="J178" s="644">
        <f t="shared" si="46"/>
        <v>0</v>
      </c>
      <c r="K178" s="613"/>
      <c r="L178" s="603" t="s">
        <v>475</v>
      </c>
    </row>
    <row r="179" spans="2:12" outlineLevel="1" x14ac:dyDescent="0.3">
      <c r="B179" s="641" t="s">
        <v>270</v>
      </c>
      <c r="C179" s="660" t="s">
        <v>525</v>
      </c>
      <c r="D179" s="642" t="str">
        <f t="shared" si="47"/>
        <v>Kč</v>
      </c>
      <c r="E179" s="643">
        <f>IF(DelkaProjektu&gt;=E$145,'3. Vstupní data cloud'!$L33+'3. Vstupní data cloud'!$L37,0)</f>
        <v>0</v>
      </c>
      <c r="F179" s="643">
        <f>IF(DelkaProjektu&gt;=F$145,'3. Vstupní data cloud'!$L33+'3. Vstupní data cloud'!$L37,0)</f>
        <v>0</v>
      </c>
      <c r="G179" s="643">
        <f>IF(DelkaProjektu&gt;=G$145,'3. Vstupní data cloud'!$L33+'3. Vstupní data cloud'!$L37,0)</f>
        <v>0</v>
      </c>
      <c r="H179" s="643">
        <f>IF(DelkaProjektu&gt;=H$145,'3. Vstupní data cloud'!$L33+'3. Vstupní data cloud'!$L37,0)</f>
        <v>0</v>
      </c>
      <c r="I179" s="643">
        <f>IF(DelkaProjektu&gt;=I$145,'3. Vstupní data cloud'!$L33+'3. Vstupní data cloud'!$L37,0)</f>
        <v>0</v>
      </c>
      <c r="J179" s="644">
        <f t="shared" si="46"/>
        <v>0</v>
      </c>
      <c r="K179" s="613"/>
      <c r="L179" s="603" t="s">
        <v>475</v>
      </c>
    </row>
    <row r="180" spans="2:12" x14ac:dyDescent="0.3">
      <c r="B180" s="633" t="s">
        <v>526</v>
      </c>
      <c r="C180" s="646" t="s">
        <v>527</v>
      </c>
      <c r="D180" s="646" t="str">
        <f t="shared" si="47"/>
        <v>Kč</v>
      </c>
      <c r="E180" s="635">
        <f>SUM(E181:E186)</f>
        <v>0</v>
      </c>
      <c r="F180" s="635">
        <f t="shared" ref="F180:I180" si="48">SUM(F181:F186)</f>
        <v>0</v>
      </c>
      <c r="G180" s="635">
        <f t="shared" si="48"/>
        <v>0</v>
      </c>
      <c r="H180" s="635">
        <f t="shared" si="48"/>
        <v>0</v>
      </c>
      <c r="I180" s="635">
        <f t="shared" si="48"/>
        <v>0</v>
      </c>
      <c r="J180" s="636">
        <f>SUM(E180:I180)</f>
        <v>0</v>
      </c>
      <c r="K180" s="613"/>
      <c r="L180" s="603" t="s">
        <v>475</v>
      </c>
    </row>
    <row r="181" spans="2:12" outlineLevel="1" x14ac:dyDescent="0.3">
      <c r="B181" s="641" t="s">
        <v>251</v>
      </c>
      <c r="C181" s="660" t="s">
        <v>528</v>
      </c>
      <c r="D181" s="642" t="str">
        <f t="shared" si="47"/>
        <v>Kč</v>
      </c>
      <c r="E181" s="643">
        <f>IF(DelkaProjektu&gt;=E$145,'3. Vstupní data cloud'!$L23,0)</f>
        <v>0</v>
      </c>
      <c r="F181" s="643">
        <f>IF(DelkaProjektu&gt;=F$145,'3. Vstupní data cloud'!$L23,0)</f>
        <v>0</v>
      </c>
      <c r="G181" s="643">
        <f>IF(DelkaProjektu&gt;=G$145,'3. Vstupní data cloud'!$L23,0)</f>
        <v>0</v>
      </c>
      <c r="H181" s="643">
        <f>IF(DelkaProjektu&gt;=H$145,'3. Vstupní data cloud'!$L23,0)</f>
        <v>0</v>
      </c>
      <c r="I181" s="643">
        <f>IF(DelkaProjektu&gt;=I$145,'3. Vstupní data cloud'!$L23,0)</f>
        <v>0</v>
      </c>
      <c r="J181" s="644">
        <f>SUM(E181:I181)</f>
        <v>0</v>
      </c>
      <c r="K181" s="613"/>
      <c r="L181" s="603" t="s">
        <v>475</v>
      </c>
    </row>
    <row r="182" spans="2:12" outlineLevel="1" x14ac:dyDescent="0.3">
      <c r="B182" s="641" t="s">
        <v>255</v>
      </c>
      <c r="C182" s="660" t="s">
        <v>529</v>
      </c>
      <c r="D182" s="642" t="str">
        <f t="shared" si="47"/>
        <v>Kč</v>
      </c>
      <c r="E182" s="643">
        <f>IF(DelkaProjektu&gt;=E$145,'3. Vstupní data cloud'!$L25,0)</f>
        <v>0</v>
      </c>
      <c r="F182" s="643">
        <f>IF(DelkaProjektu&gt;=F$145,'3. Vstupní data cloud'!$L25,0)</f>
        <v>0</v>
      </c>
      <c r="G182" s="643">
        <f>IF(DelkaProjektu&gt;=G$145,'3. Vstupní data cloud'!$L25,0)</f>
        <v>0</v>
      </c>
      <c r="H182" s="643">
        <f>IF(DelkaProjektu&gt;=H$145,'3. Vstupní data cloud'!$L25,0)</f>
        <v>0</v>
      </c>
      <c r="I182" s="643">
        <f>IF(DelkaProjektu&gt;=I$145,'3. Vstupní data cloud'!$L25,0)</f>
        <v>0</v>
      </c>
      <c r="J182" s="644">
        <f t="shared" ref="J182:J186" si="49">SUM(E182:I182)</f>
        <v>0</v>
      </c>
      <c r="K182" s="613"/>
      <c r="L182" s="603" t="s">
        <v>475</v>
      </c>
    </row>
    <row r="183" spans="2:12" outlineLevel="1" x14ac:dyDescent="0.3">
      <c r="B183" s="641" t="s">
        <v>259</v>
      </c>
      <c r="C183" s="660" t="s">
        <v>530</v>
      </c>
      <c r="D183" s="642" t="str">
        <f t="shared" si="47"/>
        <v>Kč</v>
      </c>
      <c r="E183" s="643">
        <f>IF(DelkaProjektu&gt;=E$145,'3. Vstupní data cloud'!$L27,0)</f>
        <v>0</v>
      </c>
      <c r="F183" s="643">
        <f>IF(DelkaProjektu&gt;=F$145,'3. Vstupní data cloud'!$L27,0)</f>
        <v>0</v>
      </c>
      <c r="G183" s="643">
        <f>IF(DelkaProjektu&gt;=G$145,'3. Vstupní data cloud'!$L27,0)</f>
        <v>0</v>
      </c>
      <c r="H183" s="643">
        <f>IF(DelkaProjektu&gt;=H$145,'3. Vstupní data cloud'!$L27,0)</f>
        <v>0</v>
      </c>
      <c r="I183" s="643">
        <f>IF(DelkaProjektu&gt;=I$145,'3. Vstupní data cloud'!$L27,0)</f>
        <v>0</v>
      </c>
      <c r="J183" s="644">
        <f t="shared" si="49"/>
        <v>0</v>
      </c>
      <c r="K183" s="613"/>
      <c r="L183" s="603" t="s">
        <v>475</v>
      </c>
    </row>
    <row r="184" spans="2:12" outlineLevel="1" x14ac:dyDescent="0.3">
      <c r="B184" s="641" t="s">
        <v>263</v>
      </c>
      <c r="C184" s="660" t="s">
        <v>531</v>
      </c>
      <c r="D184" s="642" t="str">
        <f t="shared" si="47"/>
        <v>Kč</v>
      </c>
      <c r="E184" s="643">
        <f>IF(DelkaProjektu&gt;=E$145,'3. Vstupní data cloud'!$L29,0)</f>
        <v>0</v>
      </c>
      <c r="F184" s="643">
        <f>IF(DelkaProjektu&gt;=F$145,'3. Vstupní data cloud'!$L29,0)</f>
        <v>0</v>
      </c>
      <c r="G184" s="643">
        <f>IF(DelkaProjektu&gt;=G$145,'3. Vstupní data cloud'!$L29,0)</f>
        <v>0</v>
      </c>
      <c r="H184" s="643">
        <f>IF(DelkaProjektu&gt;=H$145,'3. Vstupní data cloud'!$L29,0)</f>
        <v>0</v>
      </c>
      <c r="I184" s="643">
        <f>IF(DelkaProjektu&gt;=I$145,'3. Vstupní data cloud'!$L29,0)</f>
        <v>0</v>
      </c>
      <c r="J184" s="644">
        <f t="shared" si="49"/>
        <v>0</v>
      </c>
      <c r="K184" s="613"/>
      <c r="L184" s="603" t="s">
        <v>475</v>
      </c>
    </row>
    <row r="185" spans="2:12" outlineLevel="1" x14ac:dyDescent="0.3">
      <c r="B185" s="641" t="s">
        <v>267</v>
      </c>
      <c r="C185" s="660" t="s">
        <v>532</v>
      </c>
      <c r="D185" s="642" t="str">
        <f t="shared" si="47"/>
        <v>Kč</v>
      </c>
      <c r="E185" s="643">
        <f>IF(DelkaProjektu&gt;=E$145,'3. Vstupní data cloud'!$L31,0)</f>
        <v>0</v>
      </c>
      <c r="F185" s="643">
        <f>IF(DelkaProjektu&gt;=F$145,'3. Vstupní data cloud'!$L31,0)</f>
        <v>0</v>
      </c>
      <c r="G185" s="643">
        <f>IF(DelkaProjektu&gt;=G$145,'3. Vstupní data cloud'!$L31,0)</f>
        <v>0</v>
      </c>
      <c r="H185" s="643">
        <f>IF(DelkaProjektu&gt;=H$145,'3. Vstupní data cloud'!$L31,0)</f>
        <v>0</v>
      </c>
      <c r="I185" s="643">
        <f>IF(DelkaProjektu&gt;=I$145,'3. Vstupní data cloud'!$L31,0)</f>
        <v>0</v>
      </c>
      <c r="J185" s="644">
        <f t="shared" si="49"/>
        <v>0</v>
      </c>
      <c r="K185" s="613"/>
      <c r="L185" s="603" t="s">
        <v>475</v>
      </c>
    </row>
    <row r="186" spans="2:12" outlineLevel="1" x14ac:dyDescent="0.3">
      <c r="B186" s="662" t="s">
        <v>272</v>
      </c>
      <c r="C186" s="660" t="s">
        <v>533</v>
      </c>
      <c r="D186" s="642" t="str">
        <f t="shared" si="47"/>
        <v>Kč</v>
      </c>
      <c r="E186" s="643">
        <f>IF(DelkaProjektu&gt;=E$145,'3. Vstupní data cloud'!$L34+'3. Vstupní data cloud'!$L38,0)</f>
        <v>0</v>
      </c>
      <c r="F186" s="643">
        <f>IF(DelkaProjektu&gt;=F$145,'3. Vstupní data cloud'!$L34+'3. Vstupní data cloud'!$L38,0)</f>
        <v>0</v>
      </c>
      <c r="G186" s="643">
        <f>IF(DelkaProjektu&gt;=G$145,'3. Vstupní data cloud'!$L34+'3. Vstupní data cloud'!$L38,0)</f>
        <v>0</v>
      </c>
      <c r="H186" s="643">
        <f>IF(DelkaProjektu&gt;=H$145,'3. Vstupní data cloud'!$L34+'3. Vstupní data cloud'!$L38,0)</f>
        <v>0</v>
      </c>
      <c r="I186" s="643">
        <f>IF(DelkaProjektu&gt;=I$145,'3. Vstupní data cloud'!$L34+'3. Vstupní data cloud'!$L38,0)</f>
        <v>0</v>
      </c>
      <c r="J186" s="644">
        <f t="shared" si="49"/>
        <v>0</v>
      </c>
      <c r="K186" s="613"/>
      <c r="L186" s="603" t="s">
        <v>475</v>
      </c>
    </row>
    <row r="187" spans="2:12" x14ac:dyDescent="0.3">
      <c r="B187" s="633" t="s">
        <v>534</v>
      </c>
      <c r="C187" s="659" t="s">
        <v>535</v>
      </c>
      <c r="D187" s="646" t="str">
        <f t="shared" si="47"/>
        <v>Kč</v>
      </c>
      <c r="E187" s="635">
        <f>SUM(E188)</f>
        <v>0</v>
      </c>
      <c r="F187" s="635">
        <f t="shared" ref="F187:I187" si="50">SUM(F188)</f>
        <v>0</v>
      </c>
      <c r="G187" s="635">
        <f t="shared" si="50"/>
        <v>0</v>
      </c>
      <c r="H187" s="635">
        <f t="shared" si="50"/>
        <v>0</v>
      </c>
      <c r="I187" s="635">
        <f t="shared" si="50"/>
        <v>0</v>
      </c>
      <c r="J187" s="636">
        <f t="shared" ref="J187:J192" si="51">SUM(E187:I187)</f>
        <v>0</v>
      </c>
      <c r="K187" s="613"/>
      <c r="L187" s="603" t="s">
        <v>475</v>
      </c>
    </row>
    <row r="188" spans="2:12" outlineLevel="1" x14ac:dyDescent="0.3">
      <c r="B188" s="662" t="s">
        <v>186</v>
      </c>
      <c r="C188" s="660" t="s">
        <v>537</v>
      </c>
      <c r="D188" s="642" t="str">
        <f t="shared" si="47"/>
        <v>Kč</v>
      </c>
      <c r="E188" s="643">
        <f>IF(DelkaProjektu&gt;=E$145,'3. Vstupní data cloud'!$L69,0)</f>
        <v>0</v>
      </c>
      <c r="F188" s="643">
        <f>IF(DelkaProjektu&gt;=F$145,'3. Vstupní data cloud'!$L69,0)</f>
        <v>0</v>
      </c>
      <c r="G188" s="643">
        <f>IF(DelkaProjektu&gt;=G$145,'3. Vstupní data cloud'!$L69,0)</f>
        <v>0</v>
      </c>
      <c r="H188" s="643">
        <f>IF(DelkaProjektu&gt;=H$145,'3. Vstupní data cloud'!$L69,0)</f>
        <v>0</v>
      </c>
      <c r="I188" s="643">
        <f>IF(DelkaProjektu&gt;=I$145,'3. Vstupní data cloud'!$L69,0)</f>
        <v>0</v>
      </c>
      <c r="J188" s="644">
        <f t="shared" si="51"/>
        <v>0</v>
      </c>
      <c r="K188" s="613"/>
      <c r="L188" s="601" t="s">
        <v>591</v>
      </c>
    </row>
    <row r="189" spans="2:12" x14ac:dyDescent="0.3">
      <c r="B189" s="650" t="s">
        <v>286</v>
      </c>
      <c r="C189" s="666" t="s">
        <v>543</v>
      </c>
      <c r="D189" s="646" t="str">
        <f t="shared" si="47"/>
        <v>Kč</v>
      </c>
      <c r="E189" s="635">
        <f>IF(DelkaProjektu&gt;=E$145,'3. Vstupní data cloud'!$L43+'3. Vstupní data cloud'!$L44+'3. Vstupní data cloud'!$L45,0)</f>
        <v>0</v>
      </c>
      <c r="F189" s="635">
        <f>IF(DelkaProjektu&gt;=F$145,'3. Vstupní data cloud'!$L43+'3. Vstupní data cloud'!$L44+'3. Vstupní data cloud'!$L45,0)</f>
        <v>0</v>
      </c>
      <c r="G189" s="635">
        <f>IF(DelkaProjektu&gt;=G$145,'3. Vstupní data cloud'!$L43+'3. Vstupní data cloud'!$L44+'3. Vstupní data cloud'!$L45,0)</f>
        <v>0</v>
      </c>
      <c r="H189" s="635">
        <f>IF(DelkaProjektu&gt;=H$145,'3. Vstupní data cloud'!$L43+'3. Vstupní data cloud'!$L44+'3. Vstupní data cloud'!$L45,0)</f>
        <v>0</v>
      </c>
      <c r="I189" s="635">
        <f>IF(DelkaProjektu&gt;=I$145,'3. Vstupní data cloud'!$L43+'3. Vstupní data cloud'!$L44+'3. Vstupní data cloud'!$L45,0)</f>
        <v>0</v>
      </c>
      <c r="J189" s="636">
        <f t="shared" si="51"/>
        <v>0</v>
      </c>
      <c r="K189" s="613"/>
      <c r="L189" s="603" t="s">
        <v>475</v>
      </c>
    </row>
    <row r="190" spans="2:12" x14ac:dyDescent="0.3">
      <c r="B190" s="650" t="s">
        <v>544</v>
      </c>
      <c r="C190" s="666" t="s">
        <v>545</v>
      </c>
      <c r="D190" s="646" t="str">
        <f t="shared" si="47"/>
        <v>Kč</v>
      </c>
      <c r="E190" s="635">
        <f>SUM(E191:E192)</f>
        <v>0</v>
      </c>
      <c r="F190" s="635">
        <f t="shared" ref="F190:I190" si="52">SUM(F191:F192)</f>
        <v>0</v>
      </c>
      <c r="G190" s="635">
        <f t="shared" si="52"/>
        <v>0</v>
      </c>
      <c r="H190" s="635">
        <f t="shared" si="52"/>
        <v>0</v>
      </c>
      <c r="I190" s="635">
        <f t="shared" si="52"/>
        <v>0</v>
      </c>
      <c r="J190" s="636">
        <f t="shared" si="51"/>
        <v>0</v>
      </c>
      <c r="K190" s="613"/>
      <c r="L190" s="603" t="s">
        <v>475</v>
      </c>
    </row>
    <row r="191" spans="2:12" outlineLevel="1" x14ac:dyDescent="0.3">
      <c r="B191" s="667" t="s">
        <v>280</v>
      </c>
      <c r="C191" s="668" t="s">
        <v>546</v>
      </c>
      <c r="D191" s="642" t="str">
        <f t="shared" si="47"/>
        <v>Kč</v>
      </c>
      <c r="E191" s="643">
        <f>IF(DelkaProjektu&gt;=E$145,'3. Vstupní data cloud'!$L36+'3. Vstupní data cloud'!$L46,0)</f>
        <v>0</v>
      </c>
      <c r="F191" s="643">
        <f>IF(DelkaProjektu&gt;=F$145,'3. Vstupní data cloud'!$L36+'3. Vstupní data cloud'!$L46,0)</f>
        <v>0</v>
      </c>
      <c r="G191" s="643">
        <f>IF(DelkaProjektu&gt;=G$145,'3. Vstupní data cloud'!$L36+'3. Vstupní data cloud'!$L46,0)</f>
        <v>0</v>
      </c>
      <c r="H191" s="643">
        <f>IF(DelkaProjektu&gt;=H$145,'3. Vstupní data cloud'!$L36+'3. Vstupní data cloud'!$L46,0)</f>
        <v>0</v>
      </c>
      <c r="I191" s="643">
        <f>IF(DelkaProjektu&gt;=I$145,'3. Vstupní data cloud'!$L36+'3. Vstupní data cloud'!$L46,0)</f>
        <v>0</v>
      </c>
      <c r="J191" s="644">
        <f t="shared" si="51"/>
        <v>0</v>
      </c>
      <c r="K191" s="613"/>
      <c r="L191" s="603" t="s">
        <v>475</v>
      </c>
    </row>
    <row r="192" spans="2:12" outlineLevel="1" x14ac:dyDescent="0.3">
      <c r="B192" s="667" t="s">
        <v>274</v>
      </c>
      <c r="C192" s="668" t="s">
        <v>547</v>
      </c>
      <c r="D192" s="642" t="str">
        <f t="shared" si="47"/>
        <v>Kč</v>
      </c>
      <c r="E192" s="643">
        <f>IF(DelkaProjektu&gt;=E$145,'3. Vstupní data cloud'!$L35+'3. Vstupní data cloud'!$L47,0)</f>
        <v>0</v>
      </c>
      <c r="F192" s="643">
        <f>IF(DelkaProjektu&gt;=F$145,'3. Vstupní data cloud'!$L35+'3. Vstupní data cloud'!$L47,0)</f>
        <v>0</v>
      </c>
      <c r="G192" s="643">
        <f>IF(DelkaProjektu&gt;=G$145,'3. Vstupní data cloud'!$L35+'3. Vstupní data cloud'!$L47,0)</f>
        <v>0</v>
      </c>
      <c r="H192" s="643">
        <f>IF(DelkaProjektu&gt;=H$145,'3. Vstupní data cloud'!$L35+'3. Vstupní data cloud'!$L47,0)</f>
        <v>0</v>
      </c>
      <c r="I192" s="643">
        <f>IF(DelkaProjektu&gt;=I$145,'3. Vstupní data cloud'!$L35+'3. Vstupní data cloud'!$L47,0)</f>
        <v>0</v>
      </c>
      <c r="J192" s="644">
        <f t="shared" si="51"/>
        <v>0</v>
      </c>
      <c r="K192" s="613"/>
      <c r="L192" s="603" t="s">
        <v>475</v>
      </c>
    </row>
    <row r="193" spans="2:14" x14ac:dyDescent="0.3">
      <c r="B193" s="654" t="s">
        <v>548</v>
      </c>
      <c r="C193" s="655" t="s">
        <v>592</v>
      </c>
      <c r="D193" s="655" t="str">
        <f t="shared" si="47"/>
        <v>Kč</v>
      </c>
      <c r="E193" s="656">
        <f>E194+E196+E200</f>
        <v>0</v>
      </c>
      <c r="F193" s="656">
        <f t="shared" ref="F193:I193" si="53">F194+F196+F200</f>
        <v>0</v>
      </c>
      <c r="G193" s="656">
        <f t="shared" si="53"/>
        <v>0</v>
      </c>
      <c r="H193" s="656">
        <f t="shared" si="53"/>
        <v>0</v>
      </c>
      <c r="I193" s="656">
        <f t="shared" si="53"/>
        <v>0</v>
      </c>
      <c r="J193" s="656">
        <f t="shared" ref="J193:J219" si="54">SUM(E193:I193)</f>
        <v>0</v>
      </c>
      <c r="K193" s="613"/>
      <c r="L193" s="603" t="s">
        <v>475</v>
      </c>
    </row>
    <row r="194" spans="2:14" x14ac:dyDescent="0.3">
      <c r="B194" s="633" t="s">
        <v>550</v>
      </c>
      <c r="C194" s="634" t="s">
        <v>551</v>
      </c>
      <c r="D194" s="646" t="str">
        <f t="shared" si="47"/>
        <v>Kč</v>
      </c>
      <c r="E194" s="635">
        <f>SUM(E195)</f>
        <v>0</v>
      </c>
      <c r="F194" s="635">
        <f t="shared" ref="F194:I194" si="55">SUM(F195)</f>
        <v>0</v>
      </c>
      <c r="G194" s="635">
        <f t="shared" si="55"/>
        <v>0</v>
      </c>
      <c r="H194" s="635">
        <f t="shared" si="55"/>
        <v>0</v>
      </c>
      <c r="I194" s="635">
        <f t="shared" si="55"/>
        <v>0</v>
      </c>
      <c r="J194" s="636">
        <f t="shared" si="54"/>
        <v>0</v>
      </c>
      <c r="K194" s="613"/>
      <c r="L194" s="603" t="s">
        <v>475</v>
      </c>
    </row>
    <row r="195" spans="2:14" outlineLevel="1" x14ac:dyDescent="0.3">
      <c r="B195" s="662" t="s">
        <v>212</v>
      </c>
      <c r="C195" s="669" t="s">
        <v>210</v>
      </c>
      <c r="D195" s="642" t="str">
        <f t="shared" si="47"/>
        <v>Kč</v>
      </c>
      <c r="E195" s="643">
        <f>IF(DelkaProjektu&gt;=E$145,'3. Vstupní data cloud'!$L74,0)</f>
        <v>0</v>
      </c>
      <c r="F195" s="643">
        <f>IF(DelkaProjektu&gt;=F$145,'3. Vstupní data cloud'!$L74,0)</f>
        <v>0</v>
      </c>
      <c r="G195" s="643">
        <f>IF(DelkaProjektu&gt;=G$145,'3. Vstupní data cloud'!$L74,0)</f>
        <v>0</v>
      </c>
      <c r="H195" s="643">
        <f>IF(DelkaProjektu&gt;=H$145,'3. Vstupní data cloud'!$L74,0)</f>
        <v>0</v>
      </c>
      <c r="I195" s="643">
        <f>IF(DelkaProjektu&gt;=I$145,'3. Vstupní data cloud'!$L74,0)</f>
        <v>0</v>
      </c>
      <c r="J195" s="644">
        <f>SUM(E195:I195)</f>
        <v>0</v>
      </c>
      <c r="K195" s="613"/>
      <c r="L195" s="603" t="s">
        <v>475</v>
      </c>
    </row>
    <row r="196" spans="2:14" x14ac:dyDescent="0.3">
      <c r="B196" s="633" t="s">
        <v>555</v>
      </c>
      <c r="C196" s="634" t="s">
        <v>556</v>
      </c>
      <c r="D196" s="646" t="str">
        <f t="shared" si="47"/>
        <v>Kč</v>
      </c>
      <c r="E196" s="635">
        <f>SUM(E197:E199)</f>
        <v>0</v>
      </c>
      <c r="F196" s="635">
        <f t="shared" ref="F196:I196" si="56">SUM(F197:F199)</f>
        <v>0</v>
      </c>
      <c r="G196" s="635">
        <f t="shared" si="56"/>
        <v>0</v>
      </c>
      <c r="H196" s="635">
        <f t="shared" si="56"/>
        <v>0</v>
      </c>
      <c r="I196" s="635">
        <f t="shared" si="56"/>
        <v>0</v>
      </c>
      <c r="J196" s="636">
        <f t="shared" si="54"/>
        <v>0</v>
      </c>
      <c r="K196" s="613"/>
      <c r="L196" s="603" t="s">
        <v>475</v>
      </c>
    </row>
    <row r="197" spans="2:14" outlineLevel="1" x14ac:dyDescent="0.3">
      <c r="B197" s="662" t="s">
        <v>557</v>
      </c>
      <c r="C197" s="669" t="s">
        <v>558</v>
      </c>
      <c r="D197" s="642" t="str">
        <f t="shared" si="47"/>
        <v>Kč</v>
      </c>
      <c r="E197" s="643">
        <f>IF(DelkaProjektu&gt;=E$145,'3. Vstupní data cloud'!$L60,0)</f>
        <v>0</v>
      </c>
      <c r="F197" s="643">
        <f>IF(DelkaProjektu&gt;=F$145,'3. Vstupní data cloud'!$L60,0)</f>
        <v>0</v>
      </c>
      <c r="G197" s="643">
        <f>IF(DelkaProjektu&gt;=G$145,'3. Vstupní data cloud'!$L60,0)</f>
        <v>0</v>
      </c>
      <c r="H197" s="643">
        <f>IF(DelkaProjektu&gt;=H$145,'3. Vstupní data cloud'!$L60,0)</f>
        <v>0</v>
      </c>
      <c r="I197" s="643">
        <f>IF(DelkaProjektu&gt;=I$145,'3. Vstupní data cloud'!$L60,0)</f>
        <v>0</v>
      </c>
      <c r="J197" s="644">
        <f t="shared" si="54"/>
        <v>0</v>
      </c>
      <c r="K197" s="613"/>
      <c r="L197" s="603" t="s">
        <v>475</v>
      </c>
    </row>
    <row r="198" spans="2:14" outlineLevel="1" x14ac:dyDescent="0.3">
      <c r="B198" s="662" t="s">
        <v>128</v>
      </c>
      <c r="C198" s="669" t="s">
        <v>561</v>
      </c>
      <c r="D198" s="642" t="str">
        <f t="shared" si="47"/>
        <v>Kč</v>
      </c>
      <c r="E198" s="643">
        <f>IF(DelkaProjektu&gt;=E$145,'3. Vstupní data cloud'!$L57,0)</f>
        <v>0</v>
      </c>
      <c r="F198" s="643">
        <f>IF(DelkaProjektu&gt;=F$145,'3. Vstupní data cloud'!$L57,0)</f>
        <v>0</v>
      </c>
      <c r="G198" s="643">
        <f>IF(DelkaProjektu&gt;=G$145,'3. Vstupní data cloud'!$L57,0)</f>
        <v>0</v>
      </c>
      <c r="H198" s="643">
        <f>IF(DelkaProjektu&gt;=H$145,'3. Vstupní data cloud'!$L57,0)</f>
        <v>0</v>
      </c>
      <c r="I198" s="643">
        <f>IF(DelkaProjektu&gt;=I$145,'3. Vstupní data cloud'!$L57,0)</f>
        <v>0</v>
      </c>
      <c r="J198" s="644">
        <f t="shared" si="54"/>
        <v>0</v>
      </c>
      <c r="K198" s="613"/>
      <c r="L198" s="603" t="s">
        <v>475</v>
      </c>
    </row>
    <row r="199" spans="2:14" outlineLevel="1" x14ac:dyDescent="0.3">
      <c r="B199" s="662" t="s">
        <v>122</v>
      </c>
      <c r="C199" s="669" t="s">
        <v>455</v>
      </c>
      <c r="D199" s="642" t="str">
        <f t="shared" si="47"/>
        <v>Kč</v>
      </c>
      <c r="E199" s="643">
        <f>IF(DelkaProjektu&gt;=E$145,'3. Vstupní data cloud'!$L66,0)</f>
        <v>0</v>
      </c>
      <c r="F199" s="643">
        <f>IF(DelkaProjektu&gt;=F$145,'3. Vstupní data cloud'!$L66,0)</f>
        <v>0</v>
      </c>
      <c r="G199" s="643">
        <f>IF(DelkaProjektu&gt;=G$145,'3. Vstupní data cloud'!$L66,0)</f>
        <v>0</v>
      </c>
      <c r="H199" s="643">
        <f>IF(DelkaProjektu&gt;=H$145,'3. Vstupní data cloud'!$L66,0)</f>
        <v>0</v>
      </c>
      <c r="I199" s="643">
        <f>IF(DelkaProjektu&gt;=I$145,'3. Vstupní data cloud'!$L66,0)</f>
        <v>0</v>
      </c>
      <c r="J199" s="644">
        <f>SUM(E199:I199)</f>
        <v>0</v>
      </c>
      <c r="K199" s="613"/>
      <c r="L199" s="601" t="s">
        <v>593</v>
      </c>
    </row>
    <row r="200" spans="2:14" x14ac:dyDescent="0.3">
      <c r="B200" s="633" t="s">
        <v>136</v>
      </c>
      <c r="C200" s="634" t="s">
        <v>562</v>
      </c>
      <c r="D200" s="646" t="str">
        <f t="shared" si="47"/>
        <v>Kč</v>
      </c>
      <c r="E200" s="635">
        <f>IF(DelkaProjektu&gt;=E$145,'3. Vstupní data cloud'!$L54,0)</f>
        <v>0</v>
      </c>
      <c r="F200" s="635">
        <f>IF(DelkaProjektu&gt;=F$145,'3. Vstupní data cloud'!$L54,0)</f>
        <v>0</v>
      </c>
      <c r="G200" s="635">
        <f>IF(DelkaProjektu&gt;=G$145,'3. Vstupní data cloud'!$L54,0)</f>
        <v>0</v>
      </c>
      <c r="H200" s="635">
        <f>IF(DelkaProjektu&gt;=H$145,'3. Vstupní data cloud'!$L54,0)</f>
        <v>0</v>
      </c>
      <c r="I200" s="635">
        <f>IF(DelkaProjektu&gt;=I$145,'3. Vstupní data cloud'!$L54,0)</f>
        <v>0</v>
      </c>
      <c r="J200" s="636">
        <f t="shared" si="54"/>
        <v>0</v>
      </c>
      <c r="K200" s="613"/>
      <c r="L200" s="603" t="s">
        <v>475</v>
      </c>
    </row>
    <row r="201" spans="2:14" ht="15" customHeight="1" x14ac:dyDescent="0.3">
      <c r="B201" s="654" t="s">
        <v>569</v>
      </c>
      <c r="C201" s="655" t="s">
        <v>349</v>
      </c>
      <c r="D201" s="655" t="str">
        <f t="shared" si="47"/>
        <v>Kč</v>
      </c>
      <c r="E201" s="656">
        <f>SUM(E202:E205)</f>
        <v>0</v>
      </c>
      <c r="F201" s="656">
        <f t="shared" ref="F201:I201" si="57">SUM(F202:F205)</f>
        <v>0</v>
      </c>
      <c r="G201" s="656">
        <f t="shared" si="57"/>
        <v>0</v>
      </c>
      <c r="H201" s="656">
        <f t="shared" si="57"/>
        <v>0</v>
      </c>
      <c r="I201" s="656">
        <f t="shared" si="57"/>
        <v>0</v>
      </c>
      <c r="J201" s="656">
        <f>SUM(E201:I201)</f>
        <v>0</v>
      </c>
      <c r="K201" s="132"/>
      <c r="L201" s="602" t="s">
        <v>475</v>
      </c>
      <c r="M201" s="606"/>
      <c r="N201" s="601" t="s">
        <v>570</v>
      </c>
    </row>
    <row r="202" spans="2:14" ht="15" customHeight="1" x14ac:dyDescent="0.3">
      <c r="B202" s="633" t="s">
        <v>351</v>
      </c>
      <c r="C202" s="634" t="s">
        <v>350</v>
      </c>
      <c r="D202" s="646" t="str">
        <f t="shared" si="47"/>
        <v>Kč</v>
      </c>
      <c r="E202" s="652">
        <f>IF(AND('3. Vstupní data cloud'!$D$133="NE",DelkaProjektu&gt;=E$145),('3. Vstupní data cloud'!$L124+'3. Vstupní data cloud'!$L125)/DelkaProjektu,IF(DelkaProjektu=E$145,'3. Vstupní data cloud'!$L124+'3. Vstupní data cloud'!$L125,0))</f>
        <v>0</v>
      </c>
      <c r="F202" s="652">
        <f>IF(AND('3. Vstupní data cloud'!$D$133="NE",DelkaProjektu&gt;=F$145),('3. Vstupní data cloud'!$L124+'3. Vstupní data cloud'!$L125)/DelkaProjektu,IF(DelkaProjektu=F$145,'3. Vstupní data cloud'!$L124+'3. Vstupní data cloud'!$L125,0))</f>
        <v>0</v>
      </c>
      <c r="G202" s="652">
        <f>IF(AND('3. Vstupní data cloud'!$D$133="NE",DelkaProjektu&gt;=G$145),('3. Vstupní data cloud'!$L124+'3. Vstupní data cloud'!$L125)/DelkaProjektu,IF(DelkaProjektu=G$145,'3. Vstupní data cloud'!$L124+'3. Vstupní data cloud'!$L125,0))</f>
        <v>0</v>
      </c>
      <c r="H202" s="652">
        <f>IF(AND('3. Vstupní data cloud'!$D$133="NE",DelkaProjektu&gt;=H$145),('3. Vstupní data cloud'!$L124+'3. Vstupní data cloud'!$L125)/DelkaProjektu,IF(DelkaProjektu=H$145,'3. Vstupní data cloud'!$L124+'3. Vstupní data cloud'!$L125,0))</f>
        <v>0</v>
      </c>
      <c r="I202" s="652">
        <f>IF(AND('3. Vstupní data cloud'!$D$133="NE",DelkaProjektu&gt;=I$145),('3. Vstupní data cloud'!$L124+'3. Vstupní data cloud'!$L125)/DelkaProjektu,IF(DelkaProjektu=I$145,'3. Vstupní data cloud'!$L124+'3. Vstupní data cloud'!$L125,0))</f>
        <v>0</v>
      </c>
      <c r="J202" s="657">
        <f t="shared" ref="J202:J205" si="58">SUM(E202:I202)</f>
        <v>0</v>
      </c>
      <c r="K202" s="132"/>
      <c r="L202" s="602" t="s">
        <v>475</v>
      </c>
      <c r="N202" s="606" t="s">
        <v>477</v>
      </c>
    </row>
    <row r="203" spans="2:14" ht="15" customHeight="1" x14ac:dyDescent="0.3">
      <c r="B203" s="633" t="s">
        <v>354</v>
      </c>
      <c r="C203" s="634" t="s">
        <v>353</v>
      </c>
      <c r="D203" s="646" t="str">
        <f t="shared" si="47"/>
        <v>Kč</v>
      </c>
      <c r="E203" s="652">
        <f>IF(AND('3. Vstupní data cloud'!$D$133="NE",DelkaProjektu&gt;=E$145),('3. Vstupní data cloud'!$L126+'3. Vstupní data cloud'!$L127)/DelkaProjektu,IF(DelkaProjektu=E$145,'3. Vstupní data cloud'!$L126+'3. Vstupní data cloud'!$L127,0))</f>
        <v>0</v>
      </c>
      <c r="F203" s="652">
        <f>IF(AND('3. Vstupní data cloud'!$D$133="NE",DelkaProjektu&gt;=F$145),('3. Vstupní data cloud'!$L126+'3. Vstupní data cloud'!$L127)/DelkaProjektu,IF(DelkaProjektu=F$145,'3. Vstupní data cloud'!$L126+'3. Vstupní data cloud'!$L127,0))</f>
        <v>0</v>
      </c>
      <c r="G203" s="652">
        <f>IF(AND('3. Vstupní data cloud'!$D$133="NE",DelkaProjektu&gt;=G$145),('3. Vstupní data cloud'!$L126+'3. Vstupní data cloud'!$L127)/DelkaProjektu,IF(DelkaProjektu=G$145,'3. Vstupní data cloud'!$L126+'3. Vstupní data cloud'!$L127,0))</f>
        <v>0</v>
      </c>
      <c r="H203" s="652">
        <f>IF(AND('3. Vstupní data cloud'!$D$133="NE",DelkaProjektu&gt;=H$145),('3. Vstupní data cloud'!$L126+'3. Vstupní data cloud'!$L127)/DelkaProjektu,IF(DelkaProjektu=H$145,'3. Vstupní data cloud'!$L126+'3. Vstupní data cloud'!$L127,0))</f>
        <v>0</v>
      </c>
      <c r="I203" s="652">
        <f>IF(AND('3. Vstupní data cloud'!$D$133="NE",DelkaProjektu&gt;=I$145),('3. Vstupní data cloud'!$L126+'3. Vstupní data cloud'!$L127)/DelkaProjektu,IF(DelkaProjektu=I$145,'3. Vstupní data cloud'!$L126+'3. Vstupní data cloud'!$L127,0))</f>
        <v>0</v>
      </c>
      <c r="J203" s="657">
        <f t="shared" si="58"/>
        <v>0</v>
      </c>
      <c r="K203" s="132"/>
      <c r="L203" s="602" t="s">
        <v>475</v>
      </c>
      <c r="N203" s="606" t="s">
        <v>477</v>
      </c>
    </row>
    <row r="204" spans="2:14" ht="15" customHeight="1" x14ac:dyDescent="0.3">
      <c r="B204" s="633" t="s">
        <v>356</v>
      </c>
      <c r="C204" s="634" t="s">
        <v>355</v>
      </c>
      <c r="D204" s="646" t="str">
        <f t="shared" si="47"/>
        <v>Kč</v>
      </c>
      <c r="E204" s="652">
        <f>IF(AND('3. Vstupní data cloud'!$D$133="NE",DelkaProjektu&gt;=E$145),('3. Vstupní data cloud'!$L128+'3. Vstupní data cloud'!$L129)/DelkaProjektu,IF(DelkaProjektu=E$145,'3. Vstupní data cloud'!$L128+'3. Vstupní data cloud'!$L129,0))</f>
        <v>0</v>
      </c>
      <c r="F204" s="652">
        <f>IF(AND('3. Vstupní data cloud'!$D$133="NE",DelkaProjektu&gt;=F$145),('3. Vstupní data cloud'!$L128+'3. Vstupní data cloud'!$L129)/DelkaProjektu,IF(DelkaProjektu=F$145,'3. Vstupní data cloud'!$L128+'3. Vstupní data cloud'!$L129,0))</f>
        <v>0</v>
      </c>
      <c r="G204" s="652">
        <f>IF(AND('3. Vstupní data cloud'!$D$133="NE",DelkaProjektu&gt;=G$145),('3. Vstupní data cloud'!$L128+'3. Vstupní data cloud'!$L129)/DelkaProjektu,IF(DelkaProjektu=G$145,'3. Vstupní data cloud'!$L128+'3. Vstupní data cloud'!$L129,0))</f>
        <v>0</v>
      </c>
      <c r="H204" s="652">
        <f>IF(AND('3. Vstupní data cloud'!$D$133="NE",DelkaProjektu&gt;=H$145),('3. Vstupní data cloud'!$L128+'3. Vstupní data cloud'!$L129)/DelkaProjektu,IF(DelkaProjektu=H$145,'3. Vstupní data cloud'!$L128+'3. Vstupní data cloud'!$L129,0))</f>
        <v>0</v>
      </c>
      <c r="I204" s="652">
        <f>IF(AND('3. Vstupní data cloud'!$D$133="NE",DelkaProjektu&gt;=I$145),('3. Vstupní data cloud'!$L128+'3. Vstupní data cloud'!$L129)/DelkaProjektu,IF(DelkaProjektu=I$145,'3. Vstupní data cloud'!$L128+'3. Vstupní data cloud'!$L129,0))</f>
        <v>0</v>
      </c>
      <c r="J204" s="657">
        <f t="shared" si="58"/>
        <v>0</v>
      </c>
      <c r="K204" s="132"/>
      <c r="L204" s="602" t="s">
        <v>475</v>
      </c>
      <c r="N204" s="596" t="s">
        <v>477</v>
      </c>
    </row>
    <row r="205" spans="2:14" ht="15" customHeight="1" x14ac:dyDescent="0.3">
      <c r="B205" s="633" t="s">
        <v>358</v>
      </c>
      <c r="C205" s="634" t="s">
        <v>357</v>
      </c>
      <c r="D205" s="646" t="str">
        <f t="shared" si="47"/>
        <v>Kč</v>
      </c>
      <c r="E205" s="652">
        <f>IF(AND('3. Vstupní data cloud'!$D$133="NE",DelkaProjektu&gt;=E$145),('3. Vstupní data cloud'!$L130+'3. Vstupní data cloud'!$L131)/DelkaProjektu,IF(DelkaProjektu=E$145,'3. Vstupní data cloud'!$L131+'3. Vstupní data cloud'!$L130,0))</f>
        <v>0</v>
      </c>
      <c r="F205" s="652">
        <f>IF(AND('3. Vstupní data cloud'!$D$133="NE",DelkaProjektu&gt;=F$145),('3. Vstupní data cloud'!$L130+'3. Vstupní data cloud'!$L131)/DelkaProjektu,IF(DelkaProjektu=F$145,'3. Vstupní data cloud'!$L131+'3. Vstupní data cloud'!$L130,0))</f>
        <v>0</v>
      </c>
      <c r="G205" s="652">
        <f>IF(AND('3. Vstupní data cloud'!$D$133="NE",DelkaProjektu&gt;=G$145),('3. Vstupní data cloud'!$L130+'3. Vstupní data cloud'!$L131)/DelkaProjektu,IF(DelkaProjektu=G$145,'3. Vstupní data cloud'!$L131+'3. Vstupní data cloud'!$L130,0))</f>
        <v>0</v>
      </c>
      <c r="H205" s="652">
        <f>IF(AND('3. Vstupní data cloud'!$D$133="NE",DelkaProjektu&gt;=H$145),('3. Vstupní data cloud'!$L130+'3. Vstupní data cloud'!$L131)/DelkaProjektu,IF(DelkaProjektu=H$145,'3. Vstupní data cloud'!$L131+'3. Vstupní data cloud'!$L130,0))</f>
        <v>0</v>
      </c>
      <c r="I205" s="652">
        <f>IF(AND('3. Vstupní data cloud'!$D$133="NE",DelkaProjektu&gt;=I$145),('3. Vstupní data cloud'!$L130+'3. Vstupní data cloud'!$L131)/DelkaProjektu,IF(DelkaProjektu=I$145,'3. Vstupní data cloud'!$L131+'3. Vstupní data cloud'!$L130,0))</f>
        <v>0</v>
      </c>
      <c r="J205" s="657">
        <f t="shared" si="58"/>
        <v>0</v>
      </c>
      <c r="K205" s="132"/>
      <c r="L205" s="602" t="s">
        <v>475</v>
      </c>
      <c r="N205" s="596" t="s">
        <v>571</v>
      </c>
    </row>
    <row r="206" spans="2:14" ht="15" customHeight="1" x14ac:dyDescent="0.3">
      <c r="B206" s="654" t="s">
        <v>572</v>
      </c>
      <c r="C206" s="655" t="s">
        <v>360</v>
      </c>
      <c r="D206" s="655" t="str">
        <f t="shared" si="47"/>
        <v>Kč</v>
      </c>
      <c r="E206" s="656">
        <f>SUM(E207)</f>
        <v>0</v>
      </c>
      <c r="F206" s="656">
        <f t="shared" ref="F206:I206" si="59">SUM(F207)</f>
        <v>0</v>
      </c>
      <c r="G206" s="656">
        <f t="shared" si="59"/>
        <v>0</v>
      </c>
      <c r="H206" s="656">
        <f t="shared" si="59"/>
        <v>0</v>
      </c>
      <c r="I206" s="656">
        <f t="shared" si="59"/>
        <v>0</v>
      </c>
      <c r="J206" s="656">
        <f>SUM(E206:I206)</f>
        <v>0</v>
      </c>
      <c r="K206" s="132"/>
      <c r="L206" s="602" t="s">
        <v>475</v>
      </c>
      <c r="M206" s="601"/>
      <c r="N206" s="601" t="s">
        <v>570</v>
      </c>
    </row>
    <row r="207" spans="2:14" ht="15" customHeight="1" x14ac:dyDescent="0.3">
      <c r="B207" s="633" t="s">
        <v>362</v>
      </c>
      <c r="C207" s="634" t="s">
        <v>361</v>
      </c>
      <c r="D207" s="646" t="str">
        <f t="shared" si="47"/>
        <v>Kč</v>
      </c>
      <c r="E207" s="652">
        <f>IF(AND('3. Vstupní data cloud'!$D$139="NE",DelkaProjektu&gt;=E$145),('3. Vstupní data cloud'!$L136+'3. Vstupní data cloud'!$L137)/DelkaProjektu,IF(DelkaProjektu=E$145,'3. Vstupní data cloud'!$L136+'3. Vstupní data cloud'!$L137,0))</f>
        <v>0</v>
      </c>
      <c r="F207" s="652">
        <f>IF(AND('3. Vstupní data cloud'!$D$139="NE",DelkaProjektu&gt;=F$145),('3. Vstupní data cloud'!$L136+'3. Vstupní data cloud'!$L137)/DelkaProjektu,IF(DelkaProjektu=F$145,'3. Vstupní data cloud'!$L136+'3. Vstupní data cloud'!$L137,0))</f>
        <v>0</v>
      </c>
      <c r="G207" s="652">
        <f>IF(AND('3. Vstupní data cloud'!$D$139="NE",DelkaProjektu&gt;=G$145),('3. Vstupní data cloud'!$L136+'3. Vstupní data cloud'!$L137)/DelkaProjektu,IF(DelkaProjektu=G$145,'3. Vstupní data cloud'!$L136+'3. Vstupní data cloud'!$L137,0))</f>
        <v>0</v>
      </c>
      <c r="H207" s="652">
        <f>IF(AND('3. Vstupní data cloud'!$D$139="NE",DelkaProjektu&gt;=H$145),('3. Vstupní data cloud'!$L136+'3. Vstupní data cloud'!$L137)/DelkaProjektu,IF(DelkaProjektu=H$145,'3. Vstupní data cloud'!$L136+'3. Vstupní data cloud'!$L137,0))</f>
        <v>0</v>
      </c>
      <c r="I207" s="652">
        <f>IF(AND('3. Vstupní data cloud'!$D$139="NE",DelkaProjektu&gt;=I$145),('3. Vstupní data cloud'!$L136+'3. Vstupní data cloud'!$L137)/DelkaProjektu,IF(DelkaProjektu=I$145,'3. Vstupní data cloud'!$L136+'3. Vstupní data cloud'!$L137,0))</f>
        <v>0</v>
      </c>
      <c r="J207" s="657">
        <f t="shared" ref="J207" si="60">SUM(E207:I207)</f>
        <v>0</v>
      </c>
      <c r="K207" s="132"/>
      <c r="L207" s="602" t="s">
        <v>475</v>
      </c>
      <c r="N207" s="596" t="s">
        <v>477</v>
      </c>
    </row>
    <row r="208" spans="2:14" ht="15" customHeight="1" x14ac:dyDescent="0.3">
      <c r="B208" s="654" t="s">
        <v>574</v>
      </c>
      <c r="C208" s="655" t="s">
        <v>369</v>
      </c>
      <c r="D208" s="655" t="str">
        <f t="shared" si="47"/>
        <v>Kč</v>
      </c>
      <c r="E208" s="656">
        <f>E209+E212</f>
        <v>0</v>
      </c>
      <c r="F208" s="656">
        <f>F209+F212</f>
        <v>0</v>
      </c>
      <c r="G208" s="656">
        <f>G209+G212</f>
        <v>0</v>
      </c>
      <c r="H208" s="656">
        <f>H209+H212</f>
        <v>0</v>
      </c>
      <c r="I208" s="656">
        <f>I209+I212</f>
        <v>0</v>
      </c>
      <c r="J208" s="656">
        <f>SUM(E208:I208)</f>
        <v>0</v>
      </c>
      <c r="K208" s="132"/>
      <c r="L208" s="602" t="s">
        <v>475</v>
      </c>
      <c r="M208" s="606"/>
      <c r="N208" s="606" t="s">
        <v>575</v>
      </c>
    </row>
    <row r="209" spans="2:14" ht="15" customHeight="1" x14ac:dyDescent="0.3">
      <c r="B209" s="633" t="s">
        <v>576</v>
      </c>
      <c r="C209" s="634" t="s">
        <v>577</v>
      </c>
      <c r="D209" s="646" t="str">
        <f t="shared" si="47"/>
        <v>Kč</v>
      </c>
      <c r="E209" s="635">
        <f>SUM(E210:E211)</f>
        <v>0</v>
      </c>
      <c r="F209" s="635">
        <f t="shared" ref="F209:I209" si="61">SUM(F210:F211)</f>
        <v>0</v>
      </c>
      <c r="G209" s="635">
        <f t="shared" si="61"/>
        <v>0</v>
      </c>
      <c r="H209" s="635">
        <f t="shared" si="61"/>
        <v>0</v>
      </c>
      <c r="I209" s="635">
        <f t="shared" si="61"/>
        <v>0</v>
      </c>
      <c r="J209" s="657">
        <f t="shared" ref="J209" si="62">SUM(E209:I209)</f>
        <v>0</v>
      </c>
      <c r="K209" s="132"/>
      <c r="L209" s="602" t="s">
        <v>475</v>
      </c>
      <c r="N209" s="596" t="s">
        <v>477</v>
      </c>
    </row>
    <row r="210" spans="2:14" ht="15" customHeight="1" outlineLevel="1" x14ac:dyDescent="0.3">
      <c r="B210" s="667" t="s">
        <v>578</v>
      </c>
      <c r="C210" s="673"/>
      <c r="D210" s="642" t="str">
        <f t="shared" si="47"/>
        <v>Kč</v>
      </c>
      <c r="E210" s="643">
        <f>IF(DelkaProjektu&gt;=E$145,'3. Vstupní data cloud'!$L142+'3. Vstupní data cloud'!$L143,0)</f>
        <v>0</v>
      </c>
      <c r="F210" s="643">
        <f>IF(DelkaProjektu&gt;=F$145,'3. Vstupní data cloud'!$L142+'3. Vstupní data cloud'!$L143,0)</f>
        <v>0</v>
      </c>
      <c r="G210" s="643">
        <f>IF(DelkaProjektu&gt;=G$145,'3. Vstupní data cloud'!$L142+'3. Vstupní data cloud'!$L143,0)</f>
        <v>0</v>
      </c>
      <c r="H210" s="643">
        <f>IF(DelkaProjektu&gt;=H$145,'3. Vstupní data cloud'!$L142+'3. Vstupní data cloud'!$L143,0)</f>
        <v>0</v>
      </c>
      <c r="I210" s="643">
        <f>IF(DelkaProjektu&gt;=I$145,'3. Vstupní data cloud'!$L142+'3. Vstupní data cloud'!$L143,0)</f>
        <v>0</v>
      </c>
      <c r="J210" s="670">
        <f>SUM(E210:I210)</f>
        <v>0</v>
      </c>
      <c r="K210" s="132"/>
      <c r="L210" s="602" t="s">
        <v>475</v>
      </c>
      <c r="N210" s="596" t="s">
        <v>477</v>
      </c>
    </row>
    <row r="211" spans="2:14" ht="15" customHeight="1" outlineLevel="1" x14ac:dyDescent="0.3">
      <c r="B211" s="667" t="s">
        <v>374</v>
      </c>
      <c r="C211" s="673" t="s">
        <v>579</v>
      </c>
      <c r="D211" s="642" t="str">
        <f t="shared" si="47"/>
        <v>Kč</v>
      </c>
      <c r="E211" s="643">
        <f>IF(DelkaProjektu&gt;=E$145,'3. Vstupní data cloud'!$L144+'3. Vstupní data cloud'!$L145,0)</f>
        <v>0</v>
      </c>
      <c r="F211" s="643">
        <f>IF(DelkaProjektu&gt;=F$145,'3. Vstupní data cloud'!$L144+'3. Vstupní data cloud'!$L145,0)</f>
        <v>0</v>
      </c>
      <c r="G211" s="643">
        <f>IF(DelkaProjektu&gt;=G$145,'3. Vstupní data cloud'!$L144+'3. Vstupní data cloud'!$L145,0)</f>
        <v>0</v>
      </c>
      <c r="H211" s="643">
        <f>IF(DelkaProjektu&gt;=H$145,'3. Vstupní data cloud'!$L144+'3. Vstupní data cloud'!$L145,0)</f>
        <v>0</v>
      </c>
      <c r="I211" s="643">
        <f>IF(DelkaProjektu&gt;=I$145,'3. Vstupní data cloud'!$L144+'3. Vstupní data cloud'!$L145,0)</f>
        <v>0</v>
      </c>
      <c r="J211" s="670">
        <f>SUM(E211:I211)</f>
        <v>0</v>
      </c>
      <c r="K211" s="132"/>
      <c r="L211" s="602" t="s">
        <v>475</v>
      </c>
      <c r="N211" s="596" t="s">
        <v>477</v>
      </c>
    </row>
    <row r="212" spans="2:14" ht="15" customHeight="1" x14ac:dyDescent="0.3">
      <c r="B212" s="633" t="s">
        <v>377</v>
      </c>
      <c r="C212" s="634" t="s">
        <v>378</v>
      </c>
      <c r="D212" s="646" t="str">
        <f t="shared" ref="D212:D222" si="63">JenotkaMěny</f>
        <v>Kč</v>
      </c>
      <c r="E212" s="652">
        <f>IF(DelkaProjektu&gt;=E$29,'3. Vstupní data cloud'!$L146+'3. Vstupní data cloud'!$L147,0)</f>
        <v>0</v>
      </c>
      <c r="F212" s="652">
        <f>IF(DelkaProjektu&gt;=F$29,'3. Vstupní data cloud'!$L146+'3. Vstupní data cloud'!$L147,0)</f>
        <v>0</v>
      </c>
      <c r="G212" s="652">
        <f>IF(DelkaProjektu&gt;=G$29,'3. Vstupní data cloud'!$L146+'3. Vstupní data cloud'!$L147,0)</f>
        <v>0</v>
      </c>
      <c r="H212" s="652">
        <f>IF(DelkaProjektu&gt;=H$29,'3. Vstupní data cloud'!$L146+'3. Vstupní data cloud'!$L147,0)</f>
        <v>0</v>
      </c>
      <c r="I212" s="652">
        <f>IF(DelkaProjektu&gt;=I$29,'3. Vstupní data cloud'!$L146+'3. Vstupní data cloud'!$L147,0)</f>
        <v>0</v>
      </c>
      <c r="J212" s="657">
        <f t="shared" ref="J212" si="64">SUM(E212:I212)</f>
        <v>0</v>
      </c>
      <c r="K212" s="132"/>
      <c r="L212" s="602" t="s">
        <v>475</v>
      </c>
      <c r="N212" s="596" t="s">
        <v>477</v>
      </c>
    </row>
    <row r="213" spans="2:14" ht="15" customHeight="1" x14ac:dyDescent="0.3">
      <c r="B213" s="654" t="s">
        <v>580</v>
      </c>
      <c r="C213" s="655" t="s">
        <v>379</v>
      </c>
      <c r="D213" s="655" t="str">
        <f t="shared" si="63"/>
        <v>Kč</v>
      </c>
      <c r="E213" s="656">
        <f>SUM(E214:E216)</f>
        <v>0</v>
      </c>
      <c r="F213" s="656">
        <f t="shared" ref="F213:I213" si="65">SUM(F214:F216)</f>
        <v>0</v>
      </c>
      <c r="G213" s="656">
        <f t="shared" si="65"/>
        <v>0</v>
      </c>
      <c r="H213" s="656">
        <f t="shared" si="65"/>
        <v>0</v>
      </c>
      <c r="I213" s="656">
        <f t="shared" si="65"/>
        <v>0</v>
      </c>
      <c r="J213" s="656">
        <f>SUM(E213:I213)</f>
        <v>0</v>
      </c>
      <c r="K213" s="132"/>
      <c r="L213" s="602" t="s">
        <v>475</v>
      </c>
      <c r="M213" s="517"/>
      <c r="N213" s="606" t="s">
        <v>570</v>
      </c>
    </row>
    <row r="214" spans="2:14" ht="15" customHeight="1" x14ac:dyDescent="0.3">
      <c r="B214" s="633" t="s">
        <v>381</v>
      </c>
      <c r="C214" s="634" t="s">
        <v>380</v>
      </c>
      <c r="D214" s="646" t="str">
        <f t="shared" si="63"/>
        <v>Kč</v>
      </c>
      <c r="E214" s="652">
        <f>IF(AND('3. Vstupní data cloud'!$D$157="NE",DelkaProjektu&gt;=E$145),('3. Vstupní data cloud'!$L150+'3. Vstupní data cloud'!$L151)/DelkaProjektu,IF(DelkaProjektu=E$145,'3. Vstupní data cloud'!$L150+'3. Vstupní data cloud'!$L151,0))</f>
        <v>0</v>
      </c>
      <c r="F214" s="652">
        <f>IF(AND('3. Vstupní data cloud'!$D$157="NE",DelkaProjektu&gt;=F$145),('3. Vstupní data cloud'!$L150+'3. Vstupní data cloud'!$L151)/DelkaProjektu,IF(DelkaProjektu=F$145,'3. Vstupní data cloud'!$L150+'3. Vstupní data cloud'!$L151,0))</f>
        <v>0</v>
      </c>
      <c r="G214" s="652">
        <f>IF(AND('3. Vstupní data cloud'!$D$157="NE",DelkaProjektu&gt;=G$145),('3. Vstupní data cloud'!$L150+'3. Vstupní data cloud'!$L151)/DelkaProjektu,IF(DelkaProjektu=G$145,'3. Vstupní data cloud'!$L150+'3. Vstupní data cloud'!$L151,0))</f>
        <v>0</v>
      </c>
      <c r="H214" s="652">
        <f>IF(AND('3. Vstupní data cloud'!$D$157="NE",DelkaProjektu&gt;=H$145),('3. Vstupní data cloud'!$L150+'3. Vstupní data cloud'!$L151)/DelkaProjektu,IF(DelkaProjektu=H$145,'3. Vstupní data cloud'!$L150+'3. Vstupní data cloud'!$L151,0))</f>
        <v>0</v>
      </c>
      <c r="I214" s="652">
        <f>IF(AND('3. Vstupní data cloud'!$D$157="NE",DelkaProjektu&gt;=I$145),('3. Vstupní data cloud'!$L150+'3. Vstupní data cloud'!$L151)/DelkaProjektu,IF(DelkaProjektu=I$145,'3. Vstupní data cloud'!$L150+'3. Vstupní data cloud'!$L151,0))</f>
        <v>0</v>
      </c>
      <c r="J214" s="657">
        <f t="shared" ref="J214:J216" si="66">SUM(E214:I214)</f>
        <v>0</v>
      </c>
      <c r="K214" s="132"/>
      <c r="L214" s="602" t="s">
        <v>475</v>
      </c>
      <c r="N214" s="596" t="s">
        <v>477</v>
      </c>
    </row>
    <row r="215" spans="2:14" ht="15" customHeight="1" x14ac:dyDescent="0.3">
      <c r="B215" s="633" t="s">
        <v>383</v>
      </c>
      <c r="C215" s="634" t="s">
        <v>382</v>
      </c>
      <c r="D215" s="646" t="str">
        <f t="shared" si="63"/>
        <v>Kč</v>
      </c>
      <c r="E215" s="652">
        <f>IF(AND('3. Vstupní data cloud'!$D$157="NE",DelkaProjektu&gt;=E$145),('3. Vstupní data cloud'!$L153+'3. Vstupní data cloud'!$L152)/DelkaProjektu,IF(DelkaProjektu=E$145,'3. Vstupní data cloud'!$L153+'3. Vstupní data cloud'!$L152,0))</f>
        <v>0</v>
      </c>
      <c r="F215" s="652">
        <f>IF(AND('3. Vstupní data cloud'!$D$157="NE",DelkaProjektu&gt;=F$145),('3. Vstupní data cloud'!$L153+'3. Vstupní data cloud'!$L152)/DelkaProjektu,IF(DelkaProjektu=F$145,'3. Vstupní data cloud'!$L153+'3. Vstupní data cloud'!$L152,0))</f>
        <v>0</v>
      </c>
      <c r="G215" s="652">
        <f>IF(AND('3. Vstupní data cloud'!$D$157="NE",DelkaProjektu&gt;=G$145),('3. Vstupní data cloud'!$L153+'3. Vstupní data cloud'!$L152)/DelkaProjektu,IF(DelkaProjektu=G$145,'3. Vstupní data cloud'!$L153+'3. Vstupní data cloud'!$L152,0))</f>
        <v>0</v>
      </c>
      <c r="H215" s="652">
        <f>IF(AND('3. Vstupní data cloud'!$D$157="NE",DelkaProjektu&gt;=H$145),('3. Vstupní data cloud'!$L153+'3. Vstupní data cloud'!$L152)/DelkaProjektu,IF(DelkaProjektu=H$145,'3. Vstupní data cloud'!$L153+'3. Vstupní data cloud'!$L152,0))</f>
        <v>0</v>
      </c>
      <c r="I215" s="652">
        <f>IF(AND('3. Vstupní data cloud'!$D$157="NE",DelkaProjektu&gt;=I$145),('3. Vstupní data cloud'!$L153+'3. Vstupní data cloud'!$L152)/DelkaProjektu,IF(DelkaProjektu=I$145,'3. Vstupní data cloud'!$L153+'3. Vstupní data cloud'!$L152,0))</f>
        <v>0</v>
      </c>
      <c r="J215" s="657">
        <f t="shared" si="66"/>
        <v>0</v>
      </c>
      <c r="K215" s="132"/>
      <c r="L215" s="602" t="s">
        <v>475</v>
      </c>
      <c r="N215" s="596" t="s">
        <v>477</v>
      </c>
    </row>
    <row r="216" spans="2:14" ht="15" customHeight="1" x14ac:dyDescent="0.3">
      <c r="B216" s="633" t="s">
        <v>385</v>
      </c>
      <c r="C216" s="634" t="s">
        <v>384</v>
      </c>
      <c r="D216" s="646" t="str">
        <f t="shared" si="63"/>
        <v>Kč</v>
      </c>
      <c r="E216" s="652">
        <f>IF(AND('3. Vstupní data cloud'!$D$157="NE",DelkaProjektu&gt;=E$145),('3. Vstupní data cloud'!$L154+'3. Vstupní data cloud'!$L155)/DelkaProjektu,IF(DelkaProjektu=E$145,'3. Vstupní data cloud'!$L154+'3. Vstupní data cloud'!$L155,0))</f>
        <v>0</v>
      </c>
      <c r="F216" s="652">
        <f>IF(AND('3. Vstupní data cloud'!$D$157="NE",DelkaProjektu&gt;=F$145),('3. Vstupní data cloud'!$L154+'3. Vstupní data cloud'!$L155)/DelkaProjektu,IF(DelkaProjektu=F$145,'3. Vstupní data cloud'!$L154+'3. Vstupní data cloud'!$L155,0))</f>
        <v>0</v>
      </c>
      <c r="G216" s="652">
        <f>IF(AND('3. Vstupní data cloud'!$D$157="NE",DelkaProjektu&gt;=G$145),('3. Vstupní data cloud'!$L154+'3. Vstupní data cloud'!$L155)/DelkaProjektu,IF(DelkaProjektu=G$145,'3. Vstupní data cloud'!$L154+'3. Vstupní data cloud'!$L155,0))</f>
        <v>0</v>
      </c>
      <c r="H216" s="652">
        <f>IF(AND('3. Vstupní data cloud'!$D$157="NE",DelkaProjektu&gt;=H$145),('3. Vstupní data cloud'!$L154+'3. Vstupní data cloud'!$L155)/DelkaProjektu,IF(DelkaProjektu=H$145,'3. Vstupní data cloud'!$L154+'3. Vstupní data cloud'!$L155,0))</f>
        <v>0</v>
      </c>
      <c r="I216" s="652">
        <f>IF(AND('3. Vstupní data cloud'!$D$157="NE",DelkaProjektu&gt;=I$145),('3. Vstupní data cloud'!$L154+'3. Vstupní data cloud'!$L155)/DelkaProjektu,IF(DelkaProjektu=I$145,'3. Vstupní data cloud'!$L154+'3. Vstupní data cloud'!$L155,0))</f>
        <v>0</v>
      </c>
      <c r="J216" s="657">
        <f t="shared" si="66"/>
        <v>0</v>
      </c>
      <c r="K216" s="132"/>
      <c r="L216" s="602" t="s">
        <v>475</v>
      </c>
      <c r="N216" s="596" t="s">
        <v>477</v>
      </c>
    </row>
    <row r="217" spans="2:14" ht="25.2" customHeight="1" x14ac:dyDescent="0.3">
      <c r="B217" s="654" t="s">
        <v>483</v>
      </c>
      <c r="C217" s="675" t="s">
        <v>594</v>
      </c>
      <c r="D217" s="655" t="str">
        <f t="shared" si="63"/>
        <v>Kč</v>
      </c>
      <c r="E217" s="656">
        <f>SUM(E218)</f>
        <v>0</v>
      </c>
      <c r="F217" s="656">
        <f t="shared" ref="F217:I217" si="67">SUM(F218)</f>
        <v>0</v>
      </c>
      <c r="G217" s="656">
        <f t="shared" si="67"/>
        <v>0</v>
      </c>
      <c r="H217" s="656">
        <f t="shared" si="67"/>
        <v>0</v>
      </c>
      <c r="I217" s="656">
        <f t="shared" si="67"/>
        <v>0</v>
      </c>
      <c r="J217" s="656">
        <f>SUM(E217:I217)</f>
        <v>0</v>
      </c>
      <c r="K217" s="612"/>
      <c r="L217" s="602" t="s">
        <v>475</v>
      </c>
    </row>
    <row r="218" spans="2:14" ht="15" customHeight="1" x14ac:dyDescent="0.3">
      <c r="B218" s="633" t="s">
        <v>390</v>
      </c>
      <c r="C218" s="634" t="s">
        <v>582</v>
      </c>
      <c r="D218" s="646" t="str">
        <f t="shared" si="63"/>
        <v>Kč</v>
      </c>
      <c r="E218" s="635">
        <f>IF(DelkaProjektu&gt;=E$145,'3. Vstupní data cloud'!$L8,0)</f>
        <v>0</v>
      </c>
      <c r="F218" s="635">
        <f>IF(DelkaProjektu&gt;=F$145,'3. Vstupní data cloud'!$L8,0)</f>
        <v>0</v>
      </c>
      <c r="G218" s="635">
        <f>IF(DelkaProjektu&gt;=G$145,'3. Vstupní data cloud'!$L8,0)</f>
        <v>0</v>
      </c>
      <c r="H218" s="635">
        <f>IF(DelkaProjektu&gt;=H$145,'3. Vstupní data cloud'!$L8,0)</f>
        <v>0</v>
      </c>
      <c r="I218" s="635">
        <f>IF(DelkaProjektu&gt;=I$145,'3. Vstupní data cloud'!$L8,0)</f>
        <v>0</v>
      </c>
      <c r="J218" s="697">
        <f>SUM(E218:I218)</f>
        <v>0</v>
      </c>
      <c r="K218" s="132"/>
      <c r="L218" s="602" t="s">
        <v>475</v>
      </c>
    </row>
    <row r="219" spans="2:14" ht="15" customHeight="1" x14ac:dyDescent="0.3">
      <c r="B219" s="654" t="s">
        <v>583</v>
      </c>
      <c r="C219" s="655" t="s">
        <v>584</v>
      </c>
      <c r="D219" s="655" t="str">
        <f t="shared" si="63"/>
        <v>Kč</v>
      </c>
      <c r="E219" s="656">
        <f>SUM(E220:E221)</f>
        <v>0</v>
      </c>
      <c r="F219" s="656">
        <f t="shared" ref="F219:I219" si="68">SUM(F220:F221)</f>
        <v>0</v>
      </c>
      <c r="G219" s="656">
        <f t="shared" si="68"/>
        <v>0</v>
      </c>
      <c r="H219" s="656">
        <f t="shared" si="68"/>
        <v>0</v>
      </c>
      <c r="I219" s="656">
        <f t="shared" si="68"/>
        <v>0</v>
      </c>
      <c r="J219" s="656">
        <f t="shared" si="54"/>
        <v>0</v>
      </c>
      <c r="K219" s="132"/>
      <c r="L219" s="602" t="s">
        <v>475</v>
      </c>
    </row>
    <row r="220" spans="2:14" ht="15" customHeight="1" x14ac:dyDescent="0.3">
      <c r="B220" s="633" t="s">
        <v>396</v>
      </c>
      <c r="C220" s="634" t="s">
        <v>585</v>
      </c>
      <c r="D220" s="646" t="str">
        <f t="shared" si="63"/>
        <v>Kč</v>
      </c>
      <c r="E220" s="635">
        <f>IF('3. Vstupní data cloud'!$D$183="ANO",'3. Vstupní data cloud'!$L$186+'3. Vstupní data cloud'!$L$189,IF('3. Vstupní data cloud'!$D$183="NE",IF(DelkaProjektu&gt;=E$29,'3. Vstupní data cloud'!$L$189/DelkaProjektu+'3. Vstupní data cloud'!$L$186)))</f>
        <v>0</v>
      </c>
      <c r="F220" s="635">
        <f>IF(DelkaProjektu&gt;=F$145,'3. Vstupní data cloud'!$L$190,0)</f>
        <v>0</v>
      </c>
      <c r="G220" s="635">
        <f>IF(DelkaProjektu&gt;=G$145,'3. Vstupní data cloud'!$L$190,0)</f>
        <v>0</v>
      </c>
      <c r="H220" s="635">
        <f>IF(DelkaProjektu&gt;=H$145,'3. Vstupní data cloud'!$L$190,0)</f>
        <v>0</v>
      </c>
      <c r="I220" s="635">
        <f>IF(DelkaProjektu&gt;=I$145,'3. Vstupní data cloud'!$L$190,0)</f>
        <v>0</v>
      </c>
      <c r="J220" s="657">
        <f>SUM(E220:I220)</f>
        <v>0</v>
      </c>
      <c r="K220" s="132"/>
      <c r="L220" s="602" t="s">
        <v>475</v>
      </c>
    </row>
    <row r="221" spans="2:14" ht="15" customHeight="1" thickBot="1" x14ac:dyDescent="0.35">
      <c r="B221" s="633" t="s">
        <v>412</v>
      </c>
      <c r="C221" s="634" t="s">
        <v>586</v>
      </c>
      <c r="D221" s="646" t="str">
        <f t="shared" si="63"/>
        <v>Kč</v>
      </c>
      <c r="E221" s="635">
        <f>IF('3. Vstupní data cloud'!$D$183="ANO",'3. Vstupní data cloud'!$L$194+'3. Vstupní data cloud'!$L$197,IF('3. Vstupní data cloud'!$D$183="NE",IF(DelkaProjektu&gt;=E$29,'3. Vstupní data cloud'!$L$197/DelkaProjektu+'3. Vstupní data cloud'!$L$194)))</f>
        <v>0</v>
      </c>
      <c r="F221" s="635">
        <f>IF(DelkaProjektu&gt;=F$145,'3. Vstupní data cloud'!$L$198,0)</f>
        <v>0</v>
      </c>
      <c r="G221" s="635">
        <f>IF(DelkaProjektu&gt;=G$145,'3. Vstupní data cloud'!$L$198,0)</f>
        <v>0</v>
      </c>
      <c r="H221" s="635">
        <f>IF(DelkaProjektu&gt;=H$145,'3. Vstupní data cloud'!$L$198,0)</f>
        <v>0</v>
      </c>
      <c r="I221" s="635">
        <f>IF(DelkaProjektu&gt;=I$145,'3. Vstupní data cloud'!$L$198,0)</f>
        <v>0</v>
      </c>
      <c r="J221" s="657">
        <f>SUM(E221:I221)</f>
        <v>0</v>
      </c>
      <c r="K221" s="132"/>
      <c r="L221" s="602" t="s">
        <v>475</v>
      </c>
    </row>
    <row r="222" spans="2:14" ht="27" customHeight="1" thickTop="1" thickBot="1" x14ac:dyDescent="0.35">
      <c r="B222" s="698"/>
      <c r="C222" s="676" t="s">
        <v>595</v>
      </c>
      <c r="D222" s="676" t="str">
        <f t="shared" si="63"/>
        <v>Kč</v>
      </c>
      <c r="E222" s="699">
        <f>E219+E217+E213+E208+E206+E201+E193+E172+E158+E149+E146</f>
        <v>0</v>
      </c>
      <c r="F222" s="699">
        <f t="shared" ref="F222:J222" si="69">F219+F217+F213+F208+F206+F201+F193+F172+F158+F149+F146</f>
        <v>0</v>
      </c>
      <c r="G222" s="699">
        <f t="shared" si="69"/>
        <v>0</v>
      </c>
      <c r="H222" s="699">
        <f t="shared" si="69"/>
        <v>0</v>
      </c>
      <c r="I222" s="699">
        <f t="shared" si="69"/>
        <v>0</v>
      </c>
      <c r="J222" s="699">
        <f t="shared" si="69"/>
        <v>0</v>
      </c>
      <c r="K222" s="132"/>
    </row>
    <row r="223" spans="2:14" ht="15" thickTop="1" x14ac:dyDescent="0.3">
      <c r="B223" s="698"/>
      <c r="C223" s="678" t="s">
        <v>596</v>
      </c>
      <c r="D223" s="679"/>
      <c r="E223" s="680">
        <f>E222/1000</f>
        <v>0</v>
      </c>
      <c r="F223" s="680">
        <f>F222/1000</f>
        <v>0</v>
      </c>
      <c r="G223" s="680">
        <f t="shared" ref="G223" si="70">G222/1000</f>
        <v>0</v>
      </c>
      <c r="H223" s="680">
        <f t="shared" ref="H223" si="71">H222/1000</f>
        <v>0</v>
      </c>
      <c r="I223" s="680">
        <f t="shared" ref="I223" si="72">I222/1000</f>
        <v>0</v>
      </c>
      <c r="J223" s="621">
        <f>J222/1000</f>
        <v>0</v>
      </c>
      <c r="K223" s="132"/>
    </row>
    <row r="224" spans="2:14" ht="15" thickBot="1" x14ac:dyDescent="0.35">
      <c r="B224" s="698"/>
      <c r="C224" s="681" t="s">
        <v>597</v>
      </c>
      <c r="D224" s="682"/>
      <c r="E224" s="683">
        <f t="shared" ref="E224:J224" si="73">E222/PocetUzivatelu</f>
        <v>0</v>
      </c>
      <c r="F224" s="683">
        <f t="shared" si="73"/>
        <v>0</v>
      </c>
      <c r="G224" s="683">
        <f t="shared" si="73"/>
        <v>0</v>
      </c>
      <c r="H224" s="683">
        <f t="shared" si="73"/>
        <v>0</v>
      </c>
      <c r="I224" s="683">
        <f t="shared" si="73"/>
        <v>0</v>
      </c>
      <c r="J224" s="684">
        <f t="shared" si="73"/>
        <v>0</v>
      </c>
      <c r="K224" s="132"/>
    </row>
    <row r="225" spans="2:14" ht="15.6" thickTop="1" thickBot="1" x14ac:dyDescent="0.35">
      <c r="B225" s="698"/>
      <c r="C225" s="132"/>
      <c r="D225" s="132"/>
      <c r="E225" s="132"/>
      <c r="F225" s="132"/>
      <c r="G225" s="132"/>
      <c r="H225" s="132"/>
      <c r="I225" s="132"/>
      <c r="J225" s="687"/>
      <c r="K225" s="132"/>
    </row>
    <row r="226" spans="2:14" ht="15" thickBot="1" x14ac:dyDescent="0.35">
      <c r="B226" s="698"/>
      <c r="C226" s="700" t="s">
        <v>598</v>
      </c>
      <c r="D226" s="701"/>
      <c r="E226" s="702" t="s">
        <v>599</v>
      </c>
      <c r="F226" s="702" t="s">
        <v>600</v>
      </c>
      <c r="G226" s="702" t="s">
        <v>601</v>
      </c>
      <c r="H226" s="702" t="s">
        <v>602</v>
      </c>
      <c r="I226" s="702" t="s">
        <v>603</v>
      </c>
      <c r="J226" s="702"/>
      <c r="K226" s="132"/>
    </row>
    <row r="227" spans="2:14" x14ac:dyDescent="0.3">
      <c r="B227" s="698"/>
      <c r="C227" s="642" t="s">
        <v>604</v>
      </c>
      <c r="D227" s="703" t="s">
        <v>174</v>
      </c>
      <c r="E227" s="704">
        <v>1</v>
      </c>
      <c r="F227" s="704">
        <f>E227*NarustDiskUloziste+'4. Kalkulace TCO a Porovnání'!E227</f>
        <v>1</v>
      </c>
      <c r="G227" s="704">
        <f>F227*NarustDiskUloziste+'4. Kalkulace TCO a Porovnání'!F227</f>
        <v>1</v>
      </c>
      <c r="H227" s="704">
        <f>G227*NarustDiskUloziste+'4. Kalkulace TCO a Porovnání'!G227</f>
        <v>1</v>
      </c>
      <c r="I227" s="704">
        <f>H227*NarustDiskUloziste+'4. Kalkulace TCO a Porovnání'!H227</f>
        <v>1</v>
      </c>
      <c r="J227" s="705"/>
      <c r="K227" s="132"/>
      <c r="L227" s="606" t="s">
        <v>605</v>
      </c>
      <c r="M227" s="606"/>
      <c r="N227" s="606"/>
    </row>
    <row r="228" spans="2:14" x14ac:dyDescent="0.3">
      <c r="B228" s="698"/>
      <c r="C228" s="642" t="s">
        <v>606</v>
      </c>
      <c r="D228" s="703" t="s">
        <v>163</v>
      </c>
      <c r="E228" s="704">
        <f>VelikostUloziste</f>
        <v>0</v>
      </c>
      <c r="F228" s="704">
        <f>E228+(E228*NarustDiskUloziste)</f>
        <v>0</v>
      </c>
      <c r="G228" s="704">
        <f>F228+(F228*NarustDiskUloziste)</f>
        <v>0</v>
      </c>
      <c r="H228" s="704">
        <f>G228+(G228*NarustDiskUloziste)</f>
        <v>0</v>
      </c>
      <c r="I228" s="704">
        <f>H228+(H228*NarustDiskUloziste)</f>
        <v>0</v>
      </c>
      <c r="J228" s="705"/>
      <c r="K228" s="132"/>
      <c r="L228" s="606" t="s">
        <v>607</v>
      </c>
      <c r="M228" s="606"/>
      <c r="N228" s="606"/>
    </row>
    <row r="229" spans="2:14" x14ac:dyDescent="0.3">
      <c r="B229" s="706"/>
      <c r="C229" s="642" t="s">
        <v>608</v>
      </c>
      <c r="D229" s="703" t="str">
        <f>'1.Úvodní parametry'!$D$39</f>
        <v>kus</v>
      </c>
      <c r="E229" s="707">
        <f>IF(DiskVelikost=0,0,(E$228+E$228*(1-DiskTab))/DiskVelikost)</f>
        <v>0</v>
      </c>
      <c r="F229" s="707">
        <f>IF(DiskVelikost=0,0,(F$228+F$228*(1-DiskTab))/DiskVelikost)</f>
        <v>0</v>
      </c>
      <c r="G229" s="707">
        <f>IF(DiskVelikost=0,0,(G$228+G$228*(1-DiskTab))/DiskVelikost)</f>
        <v>0</v>
      </c>
      <c r="H229" s="707">
        <f>IF(DiskVelikost=0,0,(H$228+H$228*(1-DiskTab))/DiskVelikost)</f>
        <v>0</v>
      </c>
      <c r="I229" s="707">
        <f>IF(DiskVelikost=0,0,(I$228+I$228*(1-DiskTab))/DiskVelikost)</f>
        <v>0</v>
      </c>
      <c r="J229" s="705"/>
      <c r="K229" s="132"/>
      <c r="L229" s="606" t="s">
        <v>607</v>
      </c>
      <c r="M229" s="606"/>
      <c r="N229" s="606"/>
    </row>
    <row r="230" spans="2:14" x14ac:dyDescent="0.3">
      <c r="B230" s="706"/>
      <c r="C230" s="642" t="s">
        <v>609</v>
      </c>
      <c r="D230" s="703" t="str">
        <f>'1.Úvodní parametry'!$D$39</f>
        <v>kus</v>
      </c>
      <c r="E230" s="707">
        <f>IF(SANPocetDisku=0,0,ROUNDUP(E229/SANPocetDisku,0)*SANPocetJednotek)</f>
        <v>0</v>
      </c>
      <c r="F230" s="707">
        <f>IF(SANPocetDisku=0,0,ROUNDUP(F229/SANPocetDisku,0)*SANPocetJednotek)</f>
        <v>0</v>
      </c>
      <c r="G230" s="707">
        <f>IF(SANPocetDisku=0,0,ROUNDUP(G229/SANPocetDisku,0)*SANPocetJednotek)</f>
        <v>0</v>
      </c>
      <c r="H230" s="707">
        <f>IF(SANPocetDisku=0,0,ROUNDUP(H229/SANPocetDisku,0)*SANPocetJednotek)</f>
        <v>0</v>
      </c>
      <c r="I230" s="707">
        <f>IF(SANPocetDisku=0,0,ROUNDUP(I229/SANPocetDisku,0)*SANPocetJednotek)</f>
        <v>0</v>
      </c>
      <c r="J230" s="705"/>
      <c r="K230" s="132"/>
      <c r="L230" s="606" t="s">
        <v>610</v>
      </c>
      <c r="M230" s="606"/>
      <c r="N230" s="606"/>
    </row>
    <row r="231" spans="2:14" x14ac:dyDescent="0.3">
      <c r="B231" s="706"/>
      <c r="C231" s="595"/>
      <c r="D231" s="708"/>
      <c r="E231" s="595"/>
      <c r="F231" s="595"/>
      <c r="G231" s="595"/>
      <c r="H231" s="595"/>
      <c r="I231" s="595"/>
      <c r="J231" s="595"/>
    </row>
    <row r="232" spans="2:14" ht="15" customHeight="1" x14ac:dyDescent="0.3">
      <c r="B232" s="706"/>
      <c r="C232" s="132"/>
      <c r="D232" s="708"/>
      <c r="E232" s="132"/>
      <c r="F232" s="132"/>
      <c r="G232" s="132"/>
      <c r="H232" s="132"/>
      <c r="I232" s="132"/>
      <c r="J232" s="132"/>
      <c r="K232" s="132"/>
    </row>
    <row r="233" spans="2:14" ht="15" customHeight="1" x14ac:dyDescent="0.3">
      <c r="B233" s="706"/>
      <c r="C233" s="669" t="s">
        <v>611</v>
      </c>
      <c r="D233" s="709"/>
      <c r="E233" s="710"/>
      <c r="F233" s="710"/>
      <c r="G233" s="710"/>
      <c r="H233" s="710"/>
      <c r="I233" s="710"/>
      <c r="J233" s="710"/>
      <c r="K233" s="132"/>
      <c r="L233" s="608"/>
    </row>
    <row r="234" spans="2:14" x14ac:dyDescent="0.3">
      <c r="B234" s="706"/>
      <c r="C234" s="669" t="s">
        <v>612</v>
      </c>
      <c r="D234" s="708"/>
      <c r="E234" s="132"/>
      <c r="F234" s="132"/>
      <c r="G234" s="132"/>
      <c r="H234" s="132"/>
      <c r="I234" s="132"/>
      <c r="J234" s="132"/>
      <c r="K234" s="132"/>
    </row>
    <row r="235" spans="2:14" x14ac:dyDescent="0.3">
      <c r="B235" s="706"/>
      <c r="C235" s="595"/>
      <c r="D235" s="708"/>
      <c r="E235" s="595"/>
      <c r="F235" s="595"/>
      <c r="G235" s="595"/>
      <c r="H235" s="595"/>
      <c r="I235" s="595"/>
      <c r="J235" s="595"/>
    </row>
    <row r="239" spans="2:14" x14ac:dyDescent="0.3">
      <c r="C239" s="256"/>
      <c r="E239" s="256"/>
      <c r="F239" s="256"/>
      <c r="G239" s="256"/>
      <c r="H239" s="256"/>
      <c r="I239" s="256"/>
      <c r="J239" s="256" t="s">
        <v>443</v>
      </c>
      <c r="K239" s="132"/>
    </row>
  </sheetData>
  <sheetProtection algorithmName="SHA-512" hashValue="sYL8nS7MJgYb4QLD9FA9VOLj+20h/V6gK//o2QF/G/Jto1epBgSBgNfWB7X/UuEVveHMh+IKHF0kG06ec7SDbA==" saltValue="FSzYe19p/1tUAR38kHku5A==" spinCount="100000" sheet="1" objects="1" scenarios="1"/>
  <phoneticPr fontId="53" type="noConversion"/>
  <conditionalFormatting sqref="J9">
    <cfRule type="cellIs" dxfId="10" priority="10" operator="equal">
      <formula>0</formula>
    </cfRule>
    <cfRule type="cellIs" dxfId="9" priority="13" operator="greaterThan">
      <formula>0</formula>
    </cfRule>
    <cfRule type="cellIs" dxfId="8" priority="14" operator="lessThan">
      <formula>0</formula>
    </cfRule>
  </conditionalFormatting>
  <conditionalFormatting sqref="J14">
    <cfRule type="cellIs" dxfId="7" priority="1" operator="equal">
      <formula>0</formula>
    </cfRule>
    <cfRule type="cellIs" dxfId="6" priority="2" operator="greaterThan">
      <formula>0</formula>
    </cfRule>
    <cfRule type="cellIs" dxfId="5" priority="3" operator="lessThan">
      <formula>0</formula>
    </cfRule>
  </conditionalFormatting>
  <conditionalFormatting sqref="J21:J22">
    <cfRule type="cellIs" dxfId="4" priority="4" operator="greaterThan">
      <formula>0</formula>
    </cfRule>
    <cfRule type="cellIs" dxfId="3" priority="5" operator="lessThan">
      <formula>0</formula>
    </cfRule>
    <cfRule type="cellIs" dxfId="2" priority="6" operator="equal">
      <formula>0</formula>
    </cfRule>
  </conditionalFormatting>
  <dataValidations count="1">
    <dataValidation type="list" allowBlank="1" showInputMessage="1" showErrorMessage="1" sqref="J5" xr:uid="{DACC629F-3C7C-48C7-BBF1-ED5FFD4EEB21}">
      <formula1>NákladyDPH</formula1>
    </dataValidation>
  </dataValidations>
  <printOptions horizontalCentered="1"/>
  <pageMargins left="0" right="0.70866141732283472" top="0.35433070866141736" bottom="0.15748031496062992" header="0" footer="0"/>
  <pageSetup paperSize="8" fitToHeight="10" orientation="landscape" r:id="rId1"/>
  <headerFooter>
    <oddFooter>&amp;L&amp;"Calibri,Obyčejné"&amp;9Výsledky porovnání on-premise a cloudového řešení pro XaaS&amp;C&amp;"Calibri,Obyčejné"&amp;9&amp;P/&amp;N</oddFooter>
  </headerFooter>
  <rowBreaks count="6" manualBreakCount="6">
    <brk id="23" max="10" man="1"/>
    <brk id="27" max="10" man="1"/>
    <brk id="70" max="10" man="1"/>
    <brk id="120" max="10" man="1"/>
    <brk id="143" max="10" man="1"/>
    <brk id="200" max="10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86E552-4927-4922-AE63-2CCE07C79734}">
  <sheetPr published="0">
    <pageSetUpPr fitToPage="1"/>
  </sheetPr>
  <dimension ref="A1:T26"/>
  <sheetViews>
    <sheetView topLeftCell="A9" zoomScale="130" zoomScaleNormal="130" workbookViewId="0">
      <selection activeCell="F12" sqref="F12"/>
    </sheetView>
  </sheetViews>
  <sheetFormatPr defaultRowHeight="13.8" x14ac:dyDescent="0.25"/>
  <cols>
    <col min="1" max="1" width="53.19921875" style="711" customWidth="1"/>
    <col min="2" max="2" width="25.3984375" style="711" customWidth="1"/>
    <col min="3" max="3" width="24.09765625" style="712" customWidth="1"/>
    <col min="4" max="5" width="9" style="712"/>
    <col min="6" max="6" width="9" style="713"/>
    <col min="7" max="7" width="17.8984375" style="713" customWidth="1"/>
    <col min="8" max="20" width="9" style="713"/>
    <col min="21" max="16384" width="8.796875" style="714"/>
  </cols>
  <sheetData>
    <row r="1" spans="1:3" ht="14.4" x14ac:dyDescent="0.25">
      <c r="A1" s="716"/>
      <c r="B1" s="717" t="s">
        <v>708</v>
      </c>
      <c r="C1" s="718"/>
    </row>
    <row r="2" spans="1:3" ht="21" customHeight="1" x14ac:dyDescent="0.25">
      <c r="A2" s="719" t="s">
        <v>613</v>
      </c>
      <c r="B2" s="717" t="s">
        <v>709</v>
      </c>
      <c r="C2" s="718"/>
    </row>
    <row r="3" spans="1:3" x14ac:dyDescent="0.25">
      <c r="A3" s="716"/>
      <c r="B3" s="716"/>
      <c r="C3" s="718"/>
    </row>
    <row r="4" spans="1:3" ht="18.75" customHeight="1" x14ac:dyDescent="0.25">
      <c r="A4" s="720" t="s">
        <v>614</v>
      </c>
      <c r="B4" s="721">
        <f>DelkaProjektu</f>
        <v>5</v>
      </c>
      <c r="C4" s="718"/>
    </row>
    <row r="5" spans="1:3" ht="18.75" customHeight="1" x14ac:dyDescent="0.25">
      <c r="A5" s="722" t="s">
        <v>615</v>
      </c>
      <c r="B5" s="723" t="str">
        <f>'4. Kalkulace TCO a Porovnání'!J5</f>
        <v>v Kč včetně DPH</v>
      </c>
      <c r="C5" s="718"/>
    </row>
    <row r="6" spans="1:3" ht="19.5" customHeight="1" x14ac:dyDescent="0.25">
      <c r="A6" s="716"/>
      <c r="B6" s="716"/>
      <c r="C6" s="718"/>
    </row>
    <row r="7" spans="1:3" ht="19.5" customHeight="1" x14ac:dyDescent="0.25">
      <c r="A7" s="722" t="s">
        <v>616</v>
      </c>
      <c r="B7" s="723" t="s">
        <v>617</v>
      </c>
      <c r="C7" s="724" t="s">
        <v>590</v>
      </c>
    </row>
    <row r="8" spans="1:3" ht="25.5" customHeight="1" x14ac:dyDescent="0.25">
      <c r="A8" s="725" t="s">
        <v>618</v>
      </c>
      <c r="B8" s="726">
        <f>'4. Kalkulace TCO a Porovnání'!J30</f>
        <v>0</v>
      </c>
      <c r="C8" s="727">
        <f>'4. Kalkulace TCO a Porovnání'!J146</f>
        <v>0</v>
      </c>
    </row>
    <row r="9" spans="1:3" ht="25.5" customHeight="1" x14ac:dyDescent="0.25">
      <c r="A9" s="725" t="s">
        <v>619</v>
      </c>
      <c r="B9" s="726">
        <f>'4. Kalkulace TCO a Porovnání'!J33</f>
        <v>0</v>
      </c>
      <c r="C9" s="727">
        <f>'4. Kalkulace TCO a Porovnání'!J149</f>
        <v>0</v>
      </c>
    </row>
    <row r="10" spans="1:3" ht="25.5" customHeight="1" x14ac:dyDescent="0.25">
      <c r="A10" s="725" t="s">
        <v>620</v>
      </c>
      <c r="B10" s="726">
        <f>'4. Kalkulace TCO a Porovnání'!J57</f>
        <v>0</v>
      </c>
      <c r="C10" s="727">
        <f>'4. Kalkulace TCO a Porovnání'!J158</f>
        <v>0</v>
      </c>
    </row>
    <row r="11" spans="1:3" ht="25.5" customHeight="1" x14ac:dyDescent="0.25">
      <c r="A11" s="725" t="s">
        <v>621</v>
      </c>
      <c r="B11" s="726">
        <f>'4. Kalkulace TCO a Porovnání'!J71</f>
        <v>0</v>
      </c>
      <c r="C11" s="727">
        <f>'4. Kalkulace TCO a Porovnání'!J172</f>
        <v>0</v>
      </c>
    </row>
    <row r="12" spans="1:3" ht="25.5" customHeight="1" x14ac:dyDescent="0.25">
      <c r="A12" s="725" t="s">
        <v>687</v>
      </c>
      <c r="B12" s="726">
        <f>'4. Kalkulace TCO a Porovnání'!J98</f>
        <v>0</v>
      </c>
      <c r="C12" s="727">
        <f>'4. Kalkulace TCO a Porovnání'!J193</f>
        <v>0</v>
      </c>
    </row>
    <row r="13" spans="1:3" ht="25.5" customHeight="1" x14ac:dyDescent="0.25">
      <c r="A13" s="725" t="s">
        <v>622</v>
      </c>
      <c r="B13" s="726">
        <f>'4. Kalkulace TCO a Porovnání'!J116</f>
        <v>0</v>
      </c>
      <c r="C13" s="727">
        <f>'4. Kalkulace TCO a Porovnání'!J201</f>
        <v>0</v>
      </c>
    </row>
    <row r="14" spans="1:3" ht="25.5" customHeight="1" x14ac:dyDescent="0.25">
      <c r="A14" s="725" t="s">
        <v>623</v>
      </c>
      <c r="B14" s="726">
        <f>'4. Kalkulace TCO a Porovnání'!J121</f>
        <v>0</v>
      </c>
      <c r="C14" s="727">
        <f>'4. Kalkulace TCO a Porovnání'!J206</f>
        <v>0</v>
      </c>
    </row>
    <row r="15" spans="1:3" ht="25.5" customHeight="1" x14ac:dyDescent="0.25">
      <c r="A15" s="725" t="s">
        <v>624</v>
      </c>
      <c r="B15" s="726">
        <f>'4. Kalkulace TCO a Porovnání'!J126</f>
        <v>0</v>
      </c>
      <c r="C15" s="727">
        <f>'4. Kalkulace TCO a Porovnání'!J208</f>
        <v>0</v>
      </c>
    </row>
    <row r="16" spans="1:3" ht="25.5" customHeight="1" x14ac:dyDescent="0.25">
      <c r="A16" s="725" t="s">
        <v>625</v>
      </c>
      <c r="B16" s="726">
        <f>'4. Kalkulace TCO a Porovnání'!J131</f>
        <v>0</v>
      </c>
      <c r="C16" s="727">
        <f>'4. Kalkulace TCO a Porovnání'!J213</f>
        <v>0</v>
      </c>
    </row>
    <row r="17" spans="1:3" ht="25.5" customHeight="1" x14ac:dyDescent="0.25">
      <c r="A17" s="728" t="s">
        <v>686</v>
      </c>
      <c r="B17" s="726">
        <f>'4. Kalkulace TCO a Porovnání'!J135</f>
        <v>0</v>
      </c>
      <c r="C17" s="727">
        <f>'4. Kalkulace TCO a Porovnání'!J217</f>
        <v>0</v>
      </c>
    </row>
    <row r="18" spans="1:3" ht="25.5" customHeight="1" x14ac:dyDescent="0.25">
      <c r="A18" s="725" t="s">
        <v>626</v>
      </c>
      <c r="B18" s="726">
        <f>'4. Kalkulace TCO a Porovnání'!J137</f>
        <v>0</v>
      </c>
      <c r="C18" s="727">
        <f>'4. Kalkulace TCO a Porovnání'!J219</f>
        <v>0</v>
      </c>
    </row>
    <row r="19" spans="1:3" ht="25.5" customHeight="1" x14ac:dyDescent="0.25">
      <c r="A19" s="729" t="s">
        <v>389</v>
      </c>
      <c r="B19" s="730">
        <f>SUM(B8:B18)</f>
        <v>0</v>
      </c>
      <c r="C19" s="731">
        <f>SUM(C8:C18)</f>
        <v>0</v>
      </c>
    </row>
    <row r="20" spans="1:3" x14ac:dyDescent="0.25">
      <c r="A20" s="716"/>
      <c r="B20" s="716"/>
      <c r="C20" s="718"/>
    </row>
    <row r="21" spans="1:3" ht="18.75" customHeight="1" x14ac:dyDescent="0.25">
      <c r="A21" s="722" t="s">
        <v>627</v>
      </c>
      <c r="B21" s="732">
        <f>(IF(B19&gt;=C19,B19-C19,C19-B19))</f>
        <v>0</v>
      </c>
      <c r="C21" s="732"/>
    </row>
    <row r="22" spans="1:3" ht="18.75" customHeight="1" x14ac:dyDescent="0.25">
      <c r="A22" s="722" t="s">
        <v>628</v>
      </c>
      <c r="B22" s="733" t="e">
        <f>(IF(B19&gt;=C19,B19-C19,C19-B19))/(IF(B19&gt;=C19,B19,C19))</f>
        <v>#DIV/0!</v>
      </c>
      <c r="C22" s="733"/>
    </row>
    <row r="23" spans="1:3" ht="18.75" customHeight="1" x14ac:dyDescent="0.25">
      <c r="A23" s="722" t="s">
        <v>629</v>
      </c>
      <c r="B23" s="732" t="str">
        <f>(IF(B19&gt;C19,C7,B7))</f>
        <v>ON-premise řešení</v>
      </c>
      <c r="C23" s="732"/>
    </row>
    <row r="24" spans="1:3" ht="18.75" customHeight="1" x14ac:dyDescent="0.25">
      <c r="A24" s="722" t="s">
        <v>630</v>
      </c>
      <c r="B24" s="734" t="e">
        <f>IF(B22&lt;=0.02,"Srovnatelné řešení",IF(B19&lt;C19,B7,C7))</f>
        <v>#DIV/0!</v>
      </c>
      <c r="C24" s="734"/>
    </row>
    <row r="25" spans="1:3" x14ac:dyDescent="0.25">
      <c r="A25" s="716"/>
      <c r="B25" s="716"/>
      <c r="C25" s="718"/>
    </row>
    <row r="26" spans="1:3" ht="27.6" customHeight="1" x14ac:dyDescent="0.25">
      <c r="B26" s="715" t="s">
        <v>710</v>
      </c>
      <c r="C26" s="715"/>
    </row>
  </sheetData>
  <sheetProtection algorithmName="SHA-512" hashValue="WLixFVMm3vPlWyJbvjoxaUi2iIHydX/S3UttqRch4jo9RQ2uX16DB5+3GnyTJoU+0K2T4+NtyNraPueXuJMIfg==" saltValue="ynvk13KmgVu95iNCP0IOjg==" spinCount="100000" sheet="1" objects="1" scenarios="1"/>
  <mergeCells count="5">
    <mergeCell ref="B22:C22"/>
    <mergeCell ref="B21:C21"/>
    <mergeCell ref="B23:C23"/>
    <mergeCell ref="B24:C24"/>
    <mergeCell ref="B26:C26"/>
  </mergeCells>
  <conditionalFormatting sqref="B7:B19">
    <cfRule type="expression" dxfId="1" priority="1">
      <formula>$B$19&lt;$C$19</formula>
    </cfRule>
  </conditionalFormatting>
  <conditionalFormatting sqref="C7:C19">
    <cfRule type="expression" dxfId="0" priority="2">
      <formula>$C$19&lt;$B$19</formula>
    </cfRule>
  </conditionalFormatting>
  <printOptions horizontalCentered="1"/>
  <pageMargins left="0.31496062992125984" right="0.31496062992125984" top="0.59055118110236227" bottom="0.59055118110236227" header="0.31496062992125984" footer="0.31496062992125984"/>
  <pageSetup paperSize="9" scale="87"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BF6EDB-1BD3-4A39-8CB1-E7B80933AB30}">
  <sheetPr published="0"/>
  <dimension ref="A1:B21"/>
  <sheetViews>
    <sheetView tabSelected="1" workbookViewId="0">
      <selection activeCell="K26" sqref="K26"/>
    </sheetView>
  </sheetViews>
  <sheetFormatPr defaultRowHeight="13.8" x14ac:dyDescent="0.25"/>
  <cols>
    <col min="1" max="1" width="18.59765625" style="93" customWidth="1"/>
    <col min="2" max="2" width="52" style="93" customWidth="1"/>
  </cols>
  <sheetData>
    <row r="1" spans="1:2" ht="23.25" customHeight="1" x14ac:dyDescent="0.25">
      <c r="A1" s="107" t="s">
        <v>631</v>
      </c>
      <c r="B1" s="107" t="s">
        <v>632</v>
      </c>
    </row>
    <row r="2" spans="1:2" ht="44.25" customHeight="1" x14ac:dyDescent="0.25">
      <c r="A2" s="101" t="s">
        <v>633</v>
      </c>
      <c r="B2" s="102" t="s">
        <v>634</v>
      </c>
    </row>
    <row r="3" spans="1:2" ht="23.25" customHeight="1" x14ac:dyDescent="0.25">
      <c r="A3" s="101" t="s">
        <v>635</v>
      </c>
      <c r="B3" s="102" t="s">
        <v>666</v>
      </c>
    </row>
    <row r="4" spans="1:2" ht="20.25" customHeight="1" x14ac:dyDescent="0.25">
      <c r="A4" s="102" t="s">
        <v>636</v>
      </c>
      <c r="B4" s="102" t="s">
        <v>114</v>
      </c>
    </row>
    <row r="5" spans="1:2" ht="20.25" customHeight="1" x14ac:dyDescent="0.25">
      <c r="A5" s="102" t="s">
        <v>637</v>
      </c>
      <c r="B5" s="102" t="s">
        <v>638</v>
      </c>
    </row>
    <row r="6" spans="1:2" ht="20.25" customHeight="1" x14ac:dyDescent="0.25">
      <c r="A6" s="102" t="s">
        <v>639</v>
      </c>
      <c r="B6" s="102" t="s">
        <v>640</v>
      </c>
    </row>
    <row r="7" spans="1:2" ht="20.25" customHeight="1" x14ac:dyDescent="0.25">
      <c r="A7" s="102" t="s">
        <v>641</v>
      </c>
      <c r="B7" s="102" t="s">
        <v>642</v>
      </c>
    </row>
    <row r="8" spans="1:2" ht="20.25" customHeight="1" x14ac:dyDescent="0.25">
      <c r="A8" s="102" t="s">
        <v>643</v>
      </c>
      <c r="B8" s="102" t="s">
        <v>644</v>
      </c>
    </row>
    <row r="9" spans="1:2" ht="20.25" customHeight="1" x14ac:dyDescent="0.25">
      <c r="A9" s="102" t="s">
        <v>83</v>
      </c>
      <c r="B9" s="102" t="s">
        <v>645</v>
      </c>
    </row>
    <row r="10" spans="1:2" ht="20.25" customHeight="1" x14ac:dyDescent="0.25">
      <c r="A10" s="102" t="s">
        <v>646</v>
      </c>
      <c r="B10" s="102" t="s">
        <v>647</v>
      </c>
    </row>
    <row r="11" spans="1:2" ht="30.6" customHeight="1" x14ac:dyDescent="0.25">
      <c r="A11" s="103" t="s">
        <v>664</v>
      </c>
      <c r="B11" s="103" t="s">
        <v>665</v>
      </c>
    </row>
    <row r="12" spans="1:2" ht="20.25" customHeight="1" x14ac:dyDescent="0.25">
      <c r="A12" s="102" t="s">
        <v>648</v>
      </c>
      <c r="B12" s="102" t="s">
        <v>649</v>
      </c>
    </row>
    <row r="13" spans="1:2" ht="20.25" customHeight="1" x14ac:dyDescent="0.25">
      <c r="A13" s="102" t="s">
        <v>650</v>
      </c>
      <c r="B13" s="102" t="s">
        <v>651</v>
      </c>
    </row>
    <row r="14" spans="1:2" ht="24.75" customHeight="1" x14ac:dyDescent="0.25">
      <c r="A14" s="102" t="s">
        <v>652</v>
      </c>
      <c r="B14" s="102" t="s">
        <v>653</v>
      </c>
    </row>
    <row r="15" spans="1:2" ht="20.25" customHeight="1" x14ac:dyDescent="0.25">
      <c r="A15" s="103" t="s">
        <v>662</v>
      </c>
      <c r="B15" s="103" t="s">
        <v>663</v>
      </c>
    </row>
    <row r="16" spans="1:2" ht="20.25" customHeight="1" x14ac:dyDescent="0.25">
      <c r="A16" s="102" t="s">
        <v>654</v>
      </c>
      <c r="B16" s="102" t="s">
        <v>655</v>
      </c>
    </row>
    <row r="17" spans="1:2" ht="21.75" customHeight="1" x14ac:dyDescent="0.25">
      <c r="A17" s="102" t="s">
        <v>84</v>
      </c>
      <c r="B17" s="102" t="s">
        <v>656</v>
      </c>
    </row>
    <row r="18" spans="1:2" ht="25.5" customHeight="1" x14ac:dyDescent="0.25">
      <c r="A18" s="102" t="s">
        <v>85</v>
      </c>
      <c r="B18" s="102" t="s">
        <v>657</v>
      </c>
    </row>
    <row r="19" spans="1:2" ht="21.75" customHeight="1" x14ac:dyDescent="0.25">
      <c r="A19" s="102" t="s">
        <v>165</v>
      </c>
      <c r="B19" s="102" t="s">
        <v>658</v>
      </c>
    </row>
    <row r="20" spans="1:2" ht="103.5" customHeight="1" x14ac:dyDescent="0.25">
      <c r="A20" s="104" t="s">
        <v>659</v>
      </c>
      <c r="B20" s="105" t="s">
        <v>667</v>
      </c>
    </row>
    <row r="21" spans="1:2" ht="21" customHeight="1" x14ac:dyDescent="0.25">
      <c r="A21" s="104" t="s">
        <v>660</v>
      </c>
      <c r="B21" s="106" t="s">
        <v>661</v>
      </c>
    </row>
  </sheetData>
  <sortState xmlns:xlrd2="http://schemas.microsoft.com/office/spreadsheetml/2017/richdata2" ref="A2:B21">
    <sortCondition ref="A2:A21"/>
  </sortState>
  <pageMargins left="0.7" right="0.7" top="0.78740157499999996" bottom="0.78740157499999996" header="0.3" footer="0.3"/>
  <pageSetup paperSize="9"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1604A96185541428C0255D0008A0C61" ma:contentTypeVersion="4" ma:contentTypeDescription="Create a new document." ma:contentTypeScope="" ma:versionID="3b21dfc92539f5fac9313ee8147acf89">
  <xsd:schema xmlns:xsd="http://www.w3.org/2001/XMLSchema" xmlns:xs="http://www.w3.org/2001/XMLSchema" xmlns:p="http://schemas.microsoft.com/office/2006/metadata/properties" xmlns:ns2="1c346d9f-acbd-43d9-92f5-b223139b82d5" xmlns:ns3="d5632b84-dd29-4bfc-adf1-bc7bdf971249" targetNamespace="http://schemas.microsoft.com/office/2006/metadata/properties" ma:root="true" ma:fieldsID="a0ce466bd5bb39864820ae4c834d6f28" ns2:_="" ns3:_="">
    <xsd:import namespace="1c346d9f-acbd-43d9-92f5-b223139b82d5"/>
    <xsd:import namespace="d5632b84-dd29-4bfc-adf1-bc7bdf97124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346d9f-acbd-43d9-92f5-b223139b82d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632b84-dd29-4bfc-adf1-bc7bdf97124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81BDDC3-0798-4825-879B-7920CE31EB1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9AFBB3C-6503-4DE1-8DBD-9DBFFAD04753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1C1C8760-746E-4A4B-8D0F-D0FF3689EC2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c346d9f-acbd-43d9-92f5-b223139b82d5"/>
    <ds:schemaRef ds:uri="d5632b84-dd29-4bfc-adf1-bc7bdf97124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7</vt:i4>
      </vt:variant>
      <vt:variant>
        <vt:lpstr>Pojmenované oblasti</vt:lpstr>
      </vt:variant>
      <vt:variant>
        <vt:i4>100</vt:i4>
      </vt:variant>
    </vt:vector>
  </HeadingPairs>
  <TitlesOfParts>
    <vt:vector size="107" baseType="lpstr">
      <vt:lpstr>1.Úvodní parametry</vt:lpstr>
      <vt:lpstr>tabulky-schovat</vt:lpstr>
      <vt:lpstr>2. Vstupní data on-premise </vt:lpstr>
      <vt:lpstr>3. Vstupní data cloud</vt:lpstr>
      <vt:lpstr>4. Kalkulace TCO a Porovnání</vt:lpstr>
      <vt:lpstr>5. Finanční porovnání souhrn</vt:lpstr>
      <vt:lpstr>6. Použité zkratky a pojmy</vt:lpstr>
      <vt:lpstr>AnoNe</vt:lpstr>
      <vt:lpstr>AntivirPoplatekRokUzivatel</vt:lpstr>
      <vt:lpstr>AplikacniSWLicence</vt:lpstr>
      <vt:lpstr>AplikacniSWMaintenance</vt:lpstr>
      <vt:lpstr>ApliSWCloud</vt:lpstr>
      <vt:lpstr>ApliSWmaintenanceCloud</vt:lpstr>
      <vt:lpstr>BezpecDohled</vt:lpstr>
      <vt:lpstr>BezpecProjekt</vt:lpstr>
      <vt:lpstr>CelkemHodinPodpora</vt:lpstr>
      <vt:lpstr>CelkemHodinProvoz</vt:lpstr>
      <vt:lpstr>CelkemHodinRizeni</vt:lpstr>
      <vt:lpstr>CelkemNakladyCloud</vt:lpstr>
      <vt:lpstr>CelkemNakladyOnpremise</vt:lpstr>
      <vt:lpstr>CenaCloudIaaSRok</vt:lpstr>
      <vt:lpstr>CenaCloudLicenceUzivatelRok</vt:lpstr>
      <vt:lpstr>CenaElektriny</vt:lpstr>
      <vt:lpstr>cenaVlastnihoVyvoje</vt:lpstr>
      <vt:lpstr>CenaXaaSrok</vt:lpstr>
      <vt:lpstr>DatabazovySW</vt:lpstr>
      <vt:lpstr>DatabazovySWMaintenance</vt:lpstr>
      <vt:lpstr>DelkaProjektu</vt:lpstr>
      <vt:lpstr>DélkaProjektu</vt:lpstr>
      <vt:lpstr>DiskTab</vt:lpstr>
      <vt:lpstr>DiskVelikost</vt:lpstr>
      <vt:lpstr>ExterKonzultaceAnalyza</vt:lpstr>
      <vt:lpstr>ExterniKonektivita</vt:lpstr>
      <vt:lpstr>ExterniPoradenstviVerejnaZakazka</vt:lpstr>
      <vt:lpstr>Firewall</vt:lpstr>
      <vt:lpstr>FirewallMaint</vt:lpstr>
      <vt:lpstr>FTP</vt:lpstr>
      <vt:lpstr>HodinovaSazbaIT</vt:lpstr>
      <vt:lpstr>HodinSazbaIT2</vt:lpstr>
      <vt:lpstr>HodinSazbaIT3</vt:lpstr>
      <vt:lpstr>HWappliance</vt:lpstr>
      <vt:lpstr>HWuzivateleCloud</vt:lpstr>
      <vt:lpstr>IntegracniSW</vt:lpstr>
      <vt:lpstr>IntegracniSWMaintenance</vt:lpstr>
      <vt:lpstr>InterniKonektivita</vt:lpstr>
      <vt:lpstr>JenotkaMěny</vt:lpstr>
      <vt:lpstr>JinyPrvek</vt:lpstr>
      <vt:lpstr>JinyPrvekMaint</vt:lpstr>
      <vt:lpstr>JinyPrvekPorizeni</vt:lpstr>
      <vt:lpstr>KoncovyHWuziv</vt:lpstr>
      <vt:lpstr>konektivitaCloud</vt:lpstr>
      <vt:lpstr>KurzCZKEUR</vt:lpstr>
      <vt:lpstr>KyberBezpecCelkem</vt:lpstr>
      <vt:lpstr>LoadBalancerPorizeni</vt:lpstr>
      <vt:lpstr>maintenanceApliance</vt:lpstr>
      <vt:lpstr>Měna</vt:lpstr>
      <vt:lpstr>MěnaJednotka</vt:lpstr>
      <vt:lpstr>MiddleJinySW</vt:lpstr>
      <vt:lpstr>MiddleJinySWMaintenance</vt:lpstr>
      <vt:lpstr>NákladyDPH</vt:lpstr>
      <vt:lpstr>NarustDiskUloziste</vt:lpstr>
      <vt:lpstr>'1.Úvodní parametry'!Oblast_tisku</vt:lpstr>
      <vt:lpstr>'2. Vstupní data on-premise '!Oblast_tisku</vt:lpstr>
      <vt:lpstr>'3. Vstupní data cloud'!Oblast_tisku</vt:lpstr>
      <vt:lpstr>'4. Kalkulace TCO a Porovnání'!Oblast_tisku</vt:lpstr>
      <vt:lpstr>OnExterniPoradenstviVerejnaZakazka</vt:lpstr>
      <vt:lpstr>OnPremExterniPoradenstviVerejnaZakazka</vt:lpstr>
      <vt:lpstr>OperacniSystem</vt:lpstr>
      <vt:lpstr>OSPoplatekRok</vt:lpstr>
      <vt:lpstr>PocetUzivatelu</vt:lpstr>
      <vt:lpstr>PočetLet</vt:lpstr>
      <vt:lpstr>pof</vt:lpstr>
      <vt:lpstr>pr</vt:lpstr>
      <vt:lpstr>ProcentoInterniZdrojePremiseNAKUP</vt:lpstr>
      <vt:lpstr>RackUmisteni</vt:lpstr>
      <vt:lpstr>RackyPorizeni</vt:lpstr>
      <vt:lpstr>RouterPorizeni</vt:lpstr>
      <vt:lpstr>SANCenaTB</vt:lpstr>
      <vt:lpstr>SANPocetDisku</vt:lpstr>
      <vt:lpstr>SANPocetJednotek</vt:lpstr>
      <vt:lpstr>SANTbCena</vt:lpstr>
      <vt:lpstr>ServerCena</vt:lpstr>
      <vt:lpstr>ServerUdrzba</vt:lpstr>
      <vt:lpstr>SpotrebaElektrinyOstatni</vt:lpstr>
      <vt:lpstr>SpotrebaElektrinyServerRok</vt:lpstr>
      <vt:lpstr>SpotrebaElektrinyUlozisteRok</vt:lpstr>
      <vt:lpstr>SWappliance</vt:lpstr>
      <vt:lpstr>SWInfrastrukturaMaintenance</vt:lpstr>
      <vt:lpstr>SWInfrastrukturaNakup</vt:lpstr>
      <vt:lpstr>SwitchPorizeni</vt:lpstr>
      <vt:lpstr>SWkoncovehoHW</vt:lpstr>
      <vt:lpstr>SWkoncovehoUzivateleCloud</vt:lpstr>
      <vt:lpstr>tabulka</vt:lpstr>
      <vt:lpstr>Typrole</vt:lpstr>
      <vt:lpstr>VelikostDatabaze</vt:lpstr>
      <vt:lpstr>VelikostUloziste</vt:lpstr>
      <vt:lpstr>VyvojNakup</vt:lpstr>
      <vt:lpstr>VyvojSW</vt:lpstr>
      <vt:lpstr>vyvojSWmanten</vt:lpstr>
      <vt:lpstr>WindowsPoplatekRokUzivatel</vt:lpstr>
      <vt:lpstr>WindowsSrvPoplatekRok</vt:lpstr>
      <vt:lpstr>ZalohaTbCena</vt:lpstr>
      <vt:lpstr>ZalohaTBCenaHW</vt:lpstr>
      <vt:lpstr>ZivotHWaSWuzivatele</vt:lpstr>
      <vt:lpstr>ZivotnostServeru</vt:lpstr>
      <vt:lpstr>ZivotnostUzivatelskychZarizeni</vt:lpstr>
      <vt:lpstr>ŽivotnostUživatelskýchZařízení</vt:lpstr>
    </vt:vector>
  </TitlesOfParts>
  <Manager/>
  <Company>eGC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eGC team Group E</dc:creator>
  <cp:keywords/>
  <dc:description/>
  <cp:lastModifiedBy>Jamrichová Judita</cp:lastModifiedBy>
  <cp:revision/>
  <cp:lastPrinted>2023-08-09T13:56:19Z</cp:lastPrinted>
  <dcterms:created xsi:type="dcterms:W3CDTF">2016-01-25T14:16:49Z</dcterms:created>
  <dcterms:modified xsi:type="dcterms:W3CDTF">2023-10-31T19:21:36Z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0x01010051604A96185541428C0255D0008A0C61</vt:lpwstr>
  </property>
  <property fmtid="{D5CDD505-2E9C-101B-9397-08002B2CF9AE}" pid="3" name="MSIP_Label_8b33fbad-f6f4-45bd-b8c1-f46f3711dcc6_Enabled">
    <vt:lpwstr>True</vt:lpwstr>
  </property>
  <property fmtid="{D5CDD505-2E9C-101B-9397-08002B2CF9AE}" pid="4" name="MSIP_Label_8b33fbad-f6f4-45bd-b8c1-f46f3711dcc6_SiteId">
    <vt:lpwstr>8ef2ef64-61e6-4033-9f7f-48ccd5d03c90</vt:lpwstr>
  </property>
  <property fmtid="{D5CDD505-2E9C-101B-9397-08002B2CF9AE}" pid="5" name="MSIP_Label_8b33fbad-f6f4-45bd-b8c1-f46f3711dcc6_Owner">
    <vt:lpwstr>judita.jamrichova@spcss.cz</vt:lpwstr>
  </property>
  <property fmtid="{D5CDD505-2E9C-101B-9397-08002B2CF9AE}" pid="6" name="MSIP_Label_8b33fbad-f6f4-45bd-b8c1-f46f3711dcc6_SetDate">
    <vt:lpwstr>2018-08-16T13:06:27.4244779Z</vt:lpwstr>
  </property>
  <property fmtid="{D5CDD505-2E9C-101B-9397-08002B2CF9AE}" pid="7" name="MSIP_Label_8b33fbad-f6f4-45bd-b8c1-f46f3711dcc6_Name">
    <vt:lpwstr>Veřejné</vt:lpwstr>
  </property>
  <property fmtid="{D5CDD505-2E9C-101B-9397-08002B2CF9AE}" pid="8" name="MSIP_Label_8b33fbad-f6f4-45bd-b8c1-f46f3711dcc6_Application">
    <vt:lpwstr>Microsoft Azure Information Protection</vt:lpwstr>
  </property>
  <property fmtid="{D5CDD505-2E9C-101B-9397-08002B2CF9AE}" pid="9" name="MSIP_Label_8b33fbad-f6f4-45bd-b8c1-f46f3711dcc6_Extended_MSFT_Method">
    <vt:lpwstr>Automatic</vt:lpwstr>
  </property>
  <property fmtid="{D5CDD505-2E9C-101B-9397-08002B2CF9AE}" pid="10" name="Sensitivity">
    <vt:lpwstr>Veřejné</vt:lpwstr>
  </property>
</Properties>
</file>