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spcss365-my.sharepoint.com/personal/judita_jamrichova_spcss_cz/Documents/Desktop/07 eGC 2023/"/>
    </mc:Choice>
  </mc:AlternateContent>
  <xr:revisionPtr revIDLastSave="162" documentId="8_{F17EC451-A019-498E-8A85-8F02DA1F2916}" xr6:coauthVersionLast="47" xr6:coauthVersionMax="47" xr10:uidLastSave="{160E029B-C650-4088-8C13-A99929CFD308}"/>
  <bookViews>
    <workbookView xWindow="-28920" yWindow="-120" windowWidth="29040" windowHeight="17520" tabRatio="875" xr2:uid="{00000000-000D-0000-FFFF-FFFF00000000}"/>
  </bookViews>
  <sheets>
    <sheet name="1.Initial Parameters" sheetId="1" r:id="rId1"/>
    <sheet name="tabulky-schovat" sheetId="8" state="hidden" r:id="rId2"/>
    <sheet name="2. Input Data On-Premise " sheetId="6" r:id="rId3"/>
    <sheet name="3. Input Data Cloud" sheetId="5" r:id="rId4"/>
    <sheet name="4.TCO Calculation &amp; Comparsion" sheetId="7" r:id="rId5"/>
    <sheet name="5. TCO Summary" sheetId="9" r:id="rId6"/>
    <sheet name="6. Glossary" sheetId="10" r:id="rId7"/>
  </sheets>
  <externalReferences>
    <externalReference r:id="rId8"/>
  </externalReferences>
  <definedNames>
    <definedName name="_xlnm._FilterDatabase" localSheetId="2" hidden="1">'2. Input Data On-Premise '!$A$5:$R$5</definedName>
    <definedName name="AnoNe">'tabulky-schovat'!$A$1:$A$2</definedName>
    <definedName name="AntivirPoplatekRokUzivatel">'2. Input Data On-Premise '!$F$17</definedName>
    <definedName name="AplikacniSWLicence">'2. Input Data On-Premise '!$F$38</definedName>
    <definedName name="AplikacniSWMaintenance">'2. Input Data On-Premise '!$F$39</definedName>
    <definedName name="ApliSWCloud">'3. Input Data Cloud'!$F$53</definedName>
    <definedName name="ApliSWmaintenanceCloud">'3. Input Data Cloud'!$F$54</definedName>
    <definedName name="BezpecDohled">'2. Input Data On-Premise '!$F$148</definedName>
    <definedName name="BezpecProjekt">'2. Input Data On-Premise '!$F$203</definedName>
    <definedName name="CelkemHodinPodpora">'2. Input Data On-Premise '!$F$129</definedName>
    <definedName name="CelkemHodinProvoz">'2. Input Data On-Premise '!$F$151</definedName>
    <definedName name="CelkemHodinRizeni">'2. Input Data On-Premise '!$F$160</definedName>
    <definedName name="CelkemNakladyCloud">'4.TCO Calculation &amp; Comparsion'!$J$6</definedName>
    <definedName name="CelkemNakladyOnpremise">'4.TCO Calculation &amp; Comparsion'!$J$5</definedName>
    <definedName name="CenaCloudIaaSRok">'3. Input Data Cloud'!$F$5</definedName>
    <definedName name="CenaCloudLicenceUzivatelRok">'3. Input Data Cloud'!$F$5</definedName>
    <definedName name="CenaElektriny">'2. Input Data On-Premise '!$F$115</definedName>
    <definedName name="cenaVlastnihoVyvoje">'2. Input Data On-Premise '!$F$44</definedName>
    <definedName name="CenaXaaSrok">'3. Input Data Cloud'!$F$8</definedName>
    <definedName name="DatabazovySW">'2. Input Data On-Premise '!$F$22</definedName>
    <definedName name="DatabazovySWMaintenance">'2. Input Data On-Premise '!$F$23</definedName>
    <definedName name="DélkaPro">'[1]1.Úvodní parametry'!$D$6</definedName>
    <definedName name="DelkaProjektu">'1.Initial Parameters'!$D$8</definedName>
    <definedName name="DélkaProjektu">'tabulky-schovat'!$C$8:$C$12</definedName>
    <definedName name="DiskTab">'2. Input Data On-Premise '!$F$73</definedName>
    <definedName name="DiskVelikost">'2. Input Data On-Premise '!$F$72</definedName>
    <definedName name="EthernetPortCena">'2. Input Data On-Premise '!#REF!</definedName>
    <definedName name="ExterKonzultaceAnalyza">'2. Input Data On-Premise '!$F$205</definedName>
    <definedName name="ExterniKonektivita">'2. Input Data On-Premise '!$F$83</definedName>
    <definedName name="ExterniPoradenstviVerejnaZakazka">'2. Input Data On-Premise '!$F$170</definedName>
    <definedName name="Firewall">'2. Input Data On-Premise '!$F$86</definedName>
    <definedName name="FirewallMaint">'2. Input Data On-Premise '!$F$92</definedName>
    <definedName name="FTP">'1.Initial Parameters'!$D$20</definedName>
    <definedName name="HodinovaSazbaIT">'1.Initial Parameters'!$E$44</definedName>
    <definedName name="HodinSazbaIT2">'1.Initial Parameters'!$E$45</definedName>
    <definedName name="HodinSazbaIT3">'1.Initial Parameters'!$E$46</definedName>
    <definedName name="HWappliance">'2. Input Data On-Premise '!$F$48</definedName>
    <definedName name="HWuzivateleCloud">'3. Input Data Cloud'!$F$72</definedName>
    <definedName name="IntegracniSW">'2. Input Data On-Premise '!$F$30</definedName>
    <definedName name="IntegracniSWMaintenance">'2. Input Data On-Premise '!$F$31</definedName>
    <definedName name="InterniKonektivita">'2. Input Data On-Premise '!$F$82</definedName>
    <definedName name="JenotkaMěny">'1.Initial Parameters'!$D$24</definedName>
    <definedName name="JinyPrvek">'2. Input Data On-Premise '!$F$89</definedName>
    <definedName name="JinyPrvekMaint">'2. Input Data On-Premise '!$F$94</definedName>
    <definedName name="JinyPrvekPorizeni">'2. Input Data On-Premise '!$F$81</definedName>
    <definedName name="KoncovyHWuziv">'2. Input Data On-Premise '!$F$99</definedName>
    <definedName name="konektivitaCloud">'3. Input Data Cloud'!$F$69</definedName>
    <definedName name="KurzCZKEUR">'1.Initial Parameters'!$D$24</definedName>
    <definedName name="KurzCZKUSD">'1.Initial Parameters'!#REF!</definedName>
    <definedName name="KyberBezpecCelkem">'2. Input Data On-Premise '!$F$161</definedName>
    <definedName name="KyberBezpecCelkemCloud">'3. Input Data Cloud'!#REF!</definedName>
    <definedName name="LoadBalancerPorizeni">'2. Input Data On-Premise '!$F$79</definedName>
    <definedName name="maintenanceApliance">'2. Input Data On-Premise '!$F$50</definedName>
    <definedName name="Měna">'1.Initial Parameters'!$D$24</definedName>
    <definedName name="MěnaJednotka">'1.Initial Parameters'!$D$24</definedName>
    <definedName name="MiddleJinySW">'2. Input Data On-Premise '!$F$32</definedName>
    <definedName name="MiddleJinySWMaintenance">'2. Input Data On-Premise '!$F$33</definedName>
    <definedName name="MiddlewareMaintenance">'2. Input Data On-Premise '!#REF!</definedName>
    <definedName name="MiddlewareSW">'2. Input Data On-Premise '!#REF!</definedName>
    <definedName name="NákladyDPH">'tabulky-schovat'!$A$14:$A$15</definedName>
    <definedName name="NarustDiskUloziste">'2. Input Data On-Premise '!$F$65</definedName>
    <definedName name="_xlnm.Print_Area" localSheetId="0">'1.Initial Parameters'!$A$2:$F$75</definedName>
    <definedName name="_xlnm.Print_Area" localSheetId="2">'2. Input Data On-Premise '!$A$1:$H$332</definedName>
    <definedName name="_xlnm.Print_Area" localSheetId="3">'3. Input Data Cloud'!$A$1:$G$199</definedName>
    <definedName name="_xlnm.Print_Area" localSheetId="4">'4.TCO Calculation &amp; Comparsion'!$A$1:$K$232</definedName>
    <definedName name="OnExterniPoradenstviVerejnaZakazka">'2. Input Data On-Premise '!$F$170</definedName>
    <definedName name="OnPremExterniPoradenstviVerejnaZakazka">'2. Input Data On-Premise '!$F$170</definedName>
    <definedName name="OperacniSystem">'2. Input Data On-Premise '!$F$6</definedName>
    <definedName name="OSPoplatekRok">'2. Input Data On-Premise '!$F$7</definedName>
    <definedName name="PocetServeru">'2. Input Data On-Premise '!#REF!</definedName>
    <definedName name="PocetUzivatelu">'1.Initial Parameters'!$E$74</definedName>
    <definedName name="PočetLet">'tabulky-schovat'!$C$8:$C$12</definedName>
    <definedName name="pof">'2. Input Data On-Premise '!$F$129</definedName>
    <definedName name="pr">'2. Input Data On-Premise '!$F$151</definedName>
    <definedName name="ProcentoInterniZdrojePremiseNAKUP">'2. Input Data On-Premise '!$F$170</definedName>
    <definedName name="RackUmisteni">'2. Input Data On-Premise '!$F$111</definedName>
    <definedName name="RackyPorizeni">'2. Input Data On-Premise '!$F$110</definedName>
    <definedName name="RouterPorizeni">'2. Input Data On-Premise '!$F$78</definedName>
    <definedName name="SANCenaTB">'2. Input Data On-Premise '!$F$68</definedName>
    <definedName name="SANPocetDisku">'2. Input Data On-Premise '!$F$70</definedName>
    <definedName name="SANPocetJednotek">'2. Input Data On-Premise '!$F$71</definedName>
    <definedName name="SANTbCena">'2. Input Data On-Premise '!$F$69</definedName>
    <definedName name="ServerCena">'2. Input Data On-Premise '!$F$58</definedName>
    <definedName name="ServerPocetJednotek">'2. Input Data On-Premise '!#REF!</definedName>
    <definedName name="ServerUdrzba">'2. Input Data On-Premise '!$F$59</definedName>
    <definedName name="SpotrebaElektrinyOstatni">'2. Input Data On-Premise '!$F$118</definedName>
    <definedName name="SpotrebaElektrinyServerRok">'2. Input Data On-Premise '!$F$116</definedName>
    <definedName name="SpotrebaElektrinyUlozisteRok">'2. Input Data On-Premise '!$F$117</definedName>
    <definedName name="SWappliance">'2. Input Data On-Premise '!$F$49</definedName>
    <definedName name="SWInfrastrukturaMaintenance">'2. Input Data On-Premise '!$F$19</definedName>
    <definedName name="SWInfrastrukturaNakup">'2. Input Data On-Premise '!$F$18</definedName>
    <definedName name="SwitchPorizeni">'2. Input Data On-Premise '!$F$80</definedName>
    <definedName name="SWkoncovehoHW">'2. Input Data On-Premise '!$F$100</definedName>
    <definedName name="SWkoncovehoUzivateleCloud">'3. Input Data Cloud'!$F$73</definedName>
    <definedName name="tabulka">'tabulky-schovat'!$A$1:$A$2</definedName>
    <definedName name="Typrole">'tabulky-schovat'!$G$7:$G$9</definedName>
    <definedName name="VelikostDatabaze">'2. Input Data On-Premise '!$F$64</definedName>
    <definedName name="VelikostUloziste">'2. Input Data On-Premise '!$F$64</definedName>
    <definedName name="VyvojNakup">'2. Input Data On-Premise '!$F$42</definedName>
    <definedName name="VyvojSW">'2. Input Data On-Premise '!$F$26</definedName>
    <definedName name="vyvojSWmanten">'2. Input Data On-Premise '!$F$27</definedName>
    <definedName name="WindowsPoplatekRokUzivatel">'2. Input Data On-Premise '!$F$14</definedName>
    <definedName name="WindowsSrvPoplatekRok">'2. Input Data On-Premise '!$F$12</definedName>
    <definedName name="ZalohaTbCena">'2. Input Data On-Premise '!$F$75</definedName>
    <definedName name="ZalohaTBCenaHW">'2. Input Data On-Premise '!$F$74</definedName>
    <definedName name="ZÁLOHATBcenaHW">'2. Input Data On-Premise '!#REF!</definedName>
    <definedName name="ZivotHWaSWuzivatele">'2. Input Data On-Premise '!$E$99</definedName>
    <definedName name="ZivotnostServeru">'2. Input Data On-Premise '!$F$57</definedName>
    <definedName name="ZivotnostUzivatelskychZarizeni">'2. Input Data On-Premise '!$D$99</definedName>
    <definedName name="ŽivotnostUživatelskýchZařízení">'tabulky-schovat'!$A$1:$A$2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3" i="6" l="1"/>
  <c r="G84" i="5"/>
  <c r="D99" i="6"/>
  <c r="B4" i="9"/>
  <c r="J2" i="7"/>
  <c r="D24" i="1"/>
  <c r="B161" i="6"/>
  <c r="F159" i="5" l="1"/>
  <c r="G39" i="5"/>
  <c r="G19" i="5"/>
  <c r="K3" i="5"/>
  <c r="F224" i="7"/>
  <c r="G224" i="7"/>
  <c r="H224" i="7"/>
  <c r="I224" i="7"/>
  <c r="E224" i="7"/>
  <c r="D140" i="7" l="1"/>
  <c r="D139" i="7"/>
  <c r="A21" i="9"/>
  <c r="H8" i="1"/>
  <c r="C9" i="7" s="1"/>
  <c r="F261" i="6"/>
  <c r="G206" i="6"/>
  <c r="G151" i="6"/>
  <c r="G129" i="6"/>
  <c r="L273" i="6"/>
  <c r="D33" i="1"/>
  <c r="I189" i="5" s="1"/>
  <c r="I197" i="5" s="1"/>
  <c r="D31" i="1"/>
  <c r="D32" i="1"/>
  <c r="D30" i="1"/>
  <c r="D28" i="1"/>
  <c r="D26" i="1"/>
  <c r="D25" i="1"/>
  <c r="D196" i="7"/>
  <c r="D195" i="7"/>
  <c r="K60" i="5"/>
  <c r="J60" i="5"/>
  <c r="K57" i="5"/>
  <c r="J57" i="5"/>
  <c r="K59" i="5"/>
  <c r="J59" i="5"/>
  <c r="K56" i="5"/>
  <c r="J56" i="5"/>
  <c r="D59" i="5"/>
  <c r="C59" i="5"/>
  <c r="D56" i="5"/>
  <c r="C56" i="5"/>
  <c r="C188" i="5"/>
  <c r="F18" i="6"/>
  <c r="F19" i="6"/>
  <c r="J90" i="5"/>
  <c r="J92" i="5"/>
  <c r="J94" i="5"/>
  <c r="J96" i="5"/>
  <c r="J98" i="5"/>
  <c r="J100" i="5"/>
  <c r="J102" i="5"/>
  <c r="J104" i="5"/>
  <c r="J106" i="5"/>
  <c r="J108" i="5"/>
  <c r="J110" i="5"/>
  <c r="J112" i="5"/>
  <c r="J114" i="5"/>
  <c r="C90" i="5"/>
  <c r="C92" i="5"/>
  <c r="C94" i="5"/>
  <c r="C96" i="5"/>
  <c r="C98" i="5"/>
  <c r="C100" i="5"/>
  <c r="C102" i="5"/>
  <c r="C104" i="5"/>
  <c r="C106" i="5"/>
  <c r="C108" i="5"/>
  <c r="C110" i="5"/>
  <c r="C112" i="5"/>
  <c r="C114" i="5"/>
  <c r="C117" i="5"/>
  <c r="C204" i="6"/>
  <c r="C201" i="6"/>
  <c r="C199" i="6"/>
  <c r="C197" i="6"/>
  <c r="C195" i="6"/>
  <c r="C193" i="6"/>
  <c r="C191" i="6"/>
  <c r="C189" i="6"/>
  <c r="C187" i="6"/>
  <c r="C185" i="6"/>
  <c r="C183" i="6"/>
  <c r="C181" i="6"/>
  <c r="C179" i="6"/>
  <c r="C177" i="6"/>
  <c r="C70" i="1" l="1"/>
  <c r="C68" i="1"/>
  <c r="I291" i="6"/>
  <c r="I299" i="6" s="1"/>
  <c r="I288" i="6"/>
  <c r="I296" i="6" s="1"/>
  <c r="A19" i="8"/>
  <c r="C57" i="5"/>
  <c r="I186" i="5"/>
  <c r="I194" i="5" s="1"/>
  <c r="C160" i="5"/>
  <c r="C273" i="6"/>
  <c r="C48" i="5"/>
  <c r="C49" i="5" s="1"/>
  <c r="C39" i="5"/>
  <c r="C171" i="5"/>
  <c r="C69" i="1"/>
  <c r="A18" i="8"/>
  <c r="C71" i="1"/>
  <c r="C262" i="6"/>
  <c r="C4" i="7"/>
  <c r="C60" i="5"/>
  <c r="C36" i="5"/>
  <c r="C148" i="6"/>
  <c r="C133" i="6"/>
  <c r="C7" i="5"/>
  <c r="D29" i="1"/>
  <c r="C115" i="6" s="1"/>
  <c r="C63" i="1"/>
  <c r="C45" i="1"/>
  <c r="C110" i="6"/>
  <c r="C109" i="6"/>
  <c r="C108" i="6"/>
  <c r="C107" i="6"/>
  <c r="C100" i="6"/>
  <c r="C99" i="6"/>
  <c r="C95" i="6"/>
  <c r="C94" i="6"/>
  <c r="C90" i="6"/>
  <c r="C89" i="6"/>
  <c r="C88" i="6"/>
  <c r="C87" i="6"/>
  <c r="C86" i="6"/>
  <c r="C81" i="6"/>
  <c r="C80" i="6"/>
  <c r="C79" i="6"/>
  <c r="C78" i="6"/>
  <c r="C74" i="6"/>
  <c r="C71" i="6"/>
  <c r="C70" i="6"/>
  <c r="C68" i="6"/>
  <c r="C65" i="6"/>
  <c r="C60" i="6"/>
  <c r="C58" i="6"/>
  <c r="C57" i="6"/>
  <c r="C51" i="6"/>
  <c r="C49" i="6"/>
  <c r="C48" i="6"/>
  <c r="C44" i="6"/>
  <c r="C43" i="6"/>
  <c r="C42" i="6"/>
  <c r="C38" i="6"/>
  <c r="C34" i="6"/>
  <c r="C32" i="6"/>
  <c r="C30" i="6"/>
  <c r="C26" i="6"/>
  <c r="C22" i="6"/>
  <c r="C18" i="6"/>
  <c r="C16" i="6"/>
  <c r="C14" i="6"/>
  <c r="C12" i="6"/>
  <c r="C10" i="6"/>
  <c r="C8" i="6"/>
  <c r="C6" i="6"/>
  <c r="C256" i="6"/>
  <c r="C66" i="1"/>
  <c r="F8" i="5"/>
  <c r="B5" i="9"/>
  <c r="B3" i="9"/>
  <c r="D228" i="7"/>
  <c r="D227" i="7"/>
  <c r="D220" i="7"/>
  <c r="D219" i="7"/>
  <c r="D218" i="7"/>
  <c r="D216" i="7"/>
  <c r="D214" i="7"/>
  <c r="D213" i="7"/>
  <c r="D212" i="7"/>
  <c r="D209" i="7"/>
  <c r="D208" i="7"/>
  <c r="D210" i="7"/>
  <c r="D207" i="7"/>
  <c r="D205" i="7"/>
  <c r="D203" i="7"/>
  <c r="D202" i="7"/>
  <c r="D201" i="7"/>
  <c r="D200" i="7"/>
  <c r="D197" i="7"/>
  <c r="D193" i="7"/>
  <c r="D198" i="7"/>
  <c r="D194" i="7"/>
  <c r="D192" i="7"/>
  <c r="D190" i="7"/>
  <c r="D189" i="7"/>
  <c r="D186" i="7"/>
  <c r="D184" i="7"/>
  <c r="D183" i="7"/>
  <c r="D182" i="7"/>
  <c r="D181" i="7"/>
  <c r="D180" i="7"/>
  <c r="D179" i="7"/>
  <c r="D188" i="7"/>
  <c r="D187" i="7"/>
  <c r="D185" i="7"/>
  <c r="D178" i="7"/>
  <c r="D177" i="7"/>
  <c r="D176" i="7"/>
  <c r="D175" i="7"/>
  <c r="D174" i="7"/>
  <c r="D173" i="7"/>
  <c r="D172" i="7"/>
  <c r="D171" i="7"/>
  <c r="D169" i="7"/>
  <c r="D168" i="7"/>
  <c r="D167" i="7"/>
  <c r="D166" i="7"/>
  <c r="D165" i="7"/>
  <c r="D164" i="7"/>
  <c r="D163" i="7"/>
  <c r="D162" i="7"/>
  <c r="D161" i="7"/>
  <c r="D160" i="7"/>
  <c r="D159" i="7"/>
  <c r="D158" i="7"/>
  <c r="D157" i="7"/>
  <c r="D155" i="7"/>
  <c r="D154" i="7"/>
  <c r="D153" i="7"/>
  <c r="D152" i="7"/>
  <c r="D151" i="7"/>
  <c r="D150" i="7"/>
  <c r="D149" i="7"/>
  <c r="D148" i="7"/>
  <c r="D146" i="7"/>
  <c r="D145" i="7"/>
  <c r="D217" i="7"/>
  <c r="D215" i="7"/>
  <c r="D211" i="7"/>
  <c r="D206" i="7"/>
  <c r="D204" i="7"/>
  <c r="D199" i="7"/>
  <c r="D191" i="7"/>
  <c r="D170" i="7"/>
  <c r="D156" i="7"/>
  <c r="D147" i="7"/>
  <c r="D144"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0" i="7"/>
  <c r="D19" i="7"/>
  <c r="D18" i="7"/>
  <c r="D17" i="7"/>
  <c r="D16" i="7"/>
  <c r="D15" i="7"/>
  <c r="D12" i="7"/>
  <c r="D11" i="7"/>
  <c r="D10" i="7"/>
  <c r="D7" i="7"/>
  <c r="D6" i="7"/>
  <c r="D5" i="7"/>
  <c r="D25" i="8"/>
  <c r="D24" i="8"/>
  <c r="D23" i="8"/>
  <c r="D22" i="8"/>
  <c r="D21" i="8"/>
  <c r="D20" i="8"/>
  <c r="D18" i="8"/>
  <c r="D17" i="8"/>
  <c r="C155" i="5"/>
  <c r="C153" i="5"/>
  <c r="C151" i="5"/>
  <c r="C154" i="5"/>
  <c r="C152" i="5"/>
  <c r="C150" i="5"/>
  <c r="C146" i="5"/>
  <c r="C144" i="5"/>
  <c r="C142" i="5"/>
  <c r="C137" i="5"/>
  <c r="C136" i="5"/>
  <c r="C130" i="5"/>
  <c r="C128" i="5"/>
  <c r="C126" i="5"/>
  <c r="C124" i="5"/>
  <c r="C131" i="5"/>
  <c r="C129" i="5"/>
  <c r="C127" i="5"/>
  <c r="C125" i="5"/>
  <c r="C116" i="5"/>
  <c r="C119" i="5"/>
  <c r="C118" i="5"/>
  <c r="C115" i="5"/>
  <c r="C113" i="5"/>
  <c r="C111" i="5"/>
  <c r="C109" i="5"/>
  <c r="C107" i="5"/>
  <c r="C105" i="5"/>
  <c r="C103" i="5"/>
  <c r="C101" i="5"/>
  <c r="C99" i="5"/>
  <c r="C97" i="5"/>
  <c r="C91" i="5"/>
  <c r="C95" i="5"/>
  <c r="C93" i="5"/>
  <c r="C89" i="5"/>
  <c r="C84" i="5"/>
  <c r="C83" i="5"/>
  <c r="C81" i="5"/>
  <c r="C82" i="5"/>
  <c r="C80" i="5"/>
  <c r="C73" i="5"/>
  <c r="C72" i="5"/>
  <c r="C64" i="5"/>
  <c r="C65" i="5"/>
  <c r="C63" i="5"/>
  <c r="C53" i="5"/>
  <c r="C45" i="5"/>
  <c r="C44" i="5"/>
  <c r="C43" i="5"/>
  <c r="C35" i="5"/>
  <c r="C34" i="5"/>
  <c r="C33" i="5"/>
  <c r="C32" i="5"/>
  <c r="C31" i="5"/>
  <c r="C30" i="5"/>
  <c r="C29" i="5"/>
  <c r="C28" i="5"/>
  <c r="C27" i="5"/>
  <c r="C26" i="5"/>
  <c r="C25" i="5"/>
  <c r="C24" i="5"/>
  <c r="C23" i="5"/>
  <c r="C17" i="5"/>
  <c r="C16" i="5"/>
  <c r="C15" i="5"/>
  <c r="C248" i="6"/>
  <c r="C246" i="6"/>
  <c r="C244" i="6"/>
  <c r="C249" i="6"/>
  <c r="C247" i="6"/>
  <c r="C245" i="6"/>
  <c r="C239" i="6"/>
  <c r="C237" i="6"/>
  <c r="C235" i="6"/>
  <c r="C230" i="6"/>
  <c r="C228" i="6"/>
  <c r="C226" i="6"/>
  <c r="C224" i="6"/>
  <c r="C229" i="6"/>
  <c r="C227" i="6"/>
  <c r="C225" i="6"/>
  <c r="C223" i="6"/>
  <c r="C218" i="6"/>
  <c r="C216" i="6"/>
  <c r="C214" i="6"/>
  <c r="C212" i="6"/>
  <c r="C217" i="6"/>
  <c r="C215" i="6"/>
  <c r="C213" i="6"/>
  <c r="C211" i="6"/>
  <c r="C206" i="6"/>
  <c r="C205" i="6"/>
  <c r="C203" i="6"/>
  <c r="C202" i="6"/>
  <c r="C200" i="6"/>
  <c r="C198" i="6"/>
  <c r="C196" i="6"/>
  <c r="C194" i="6"/>
  <c r="C192" i="6"/>
  <c r="C190" i="6"/>
  <c r="C188" i="6"/>
  <c r="C186" i="6"/>
  <c r="C184" i="6"/>
  <c r="C178" i="6"/>
  <c r="C182" i="6"/>
  <c r="C180" i="6"/>
  <c r="C176" i="6"/>
  <c r="C171" i="6"/>
  <c r="C170" i="6"/>
  <c r="C169" i="6"/>
  <c r="C168" i="6"/>
  <c r="C167" i="6"/>
  <c r="C157" i="6"/>
  <c r="C156" i="6"/>
  <c r="C155" i="6"/>
  <c r="C146" i="6"/>
  <c r="C145" i="6"/>
  <c r="C144" i="6"/>
  <c r="C143" i="6"/>
  <c r="C142" i="6"/>
  <c r="C141" i="6"/>
  <c r="C140" i="6"/>
  <c r="C139" i="6"/>
  <c r="C138" i="6"/>
  <c r="C137" i="6"/>
  <c r="C136" i="6"/>
  <c r="C135" i="6"/>
  <c r="C134" i="6"/>
  <c r="C127" i="6"/>
  <c r="C126" i="6"/>
  <c r="C125" i="6"/>
  <c r="C119" i="6"/>
  <c r="C118" i="6"/>
  <c r="C117" i="6"/>
  <c r="C116" i="6"/>
  <c r="C257" i="6"/>
  <c r="C189" i="5"/>
  <c r="F198" i="5"/>
  <c r="D198" i="5"/>
  <c r="C198" i="5"/>
  <c r="F197" i="5"/>
  <c r="D197" i="5"/>
  <c r="C197" i="5"/>
  <c r="F191" i="5"/>
  <c r="D191" i="5"/>
  <c r="C191" i="5"/>
  <c r="F190" i="5"/>
  <c r="D190" i="5"/>
  <c r="C190" i="5"/>
  <c r="F189" i="5"/>
  <c r="D189" i="5"/>
  <c r="F188" i="5"/>
  <c r="D188" i="5"/>
  <c r="J131" i="5"/>
  <c r="J129" i="5"/>
  <c r="J127" i="5"/>
  <c r="J125" i="5"/>
  <c r="L123" i="5"/>
  <c r="J137" i="5"/>
  <c r="L135" i="5"/>
  <c r="J155" i="5"/>
  <c r="J153" i="5"/>
  <c r="J151" i="5"/>
  <c r="J147" i="5"/>
  <c r="J145" i="5"/>
  <c r="J143" i="5"/>
  <c r="L141" i="5"/>
  <c r="L149" i="5"/>
  <c r="J173" i="5"/>
  <c r="J197" i="5" s="1"/>
  <c r="K173" i="5"/>
  <c r="K197" i="5" s="1"/>
  <c r="J174" i="5"/>
  <c r="K174" i="5"/>
  <c r="J175" i="5"/>
  <c r="K175" i="5"/>
  <c r="J176" i="5"/>
  <c r="K176" i="5"/>
  <c r="J177" i="5"/>
  <c r="K177" i="5"/>
  <c r="J178" i="5"/>
  <c r="K178" i="5"/>
  <c r="J179" i="5"/>
  <c r="K179" i="5"/>
  <c r="J180" i="5"/>
  <c r="K180" i="5"/>
  <c r="J181" i="5"/>
  <c r="K181" i="5"/>
  <c r="J162" i="5"/>
  <c r="J163" i="5"/>
  <c r="J164" i="5"/>
  <c r="J165" i="5"/>
  <c r="J166" i="5"/>
  <c r="J167" i="5"/>
  <c r="J168" i="5"/>
  <c r="J169" i="5"/>
  <c r="J170" i="5"/>
  <c r="J161" i="5"/>
  <c r="L196" i="5"/>
  <c r="L193" i="5"/>
  <c r="L188" i="5"/>
  <c r="L185" i="5"/>
  <c r="D183" i="5"/>
  <c r="K172" i="5"/>
  <c r="J172" i="5"/>
  <c r="L171" i="5"/>
  <c r="L159" i="5"/>
  <c r="D157" i="5"/>
  <c r="D139" i="5"/>
  <c r="D133" i="5"/>
  <c r="J66" i="5"/>
  <c r="J69" i="5"/>
  <c r="L68" i="5"/>
  <c r="J74" i="5"/>
  <c r="J18" i="5"/>
  <c r="J47" i="5"/>
  <c r="J46" i="5"/>
  <c r="J38" i="5"/>
  <c r="J37" i="5"/>
  <c r="L14" i="5"/>
  <c r="L22" i="5"/>
  <c r="L42" i="5"/>
  <c r="J118" i="5"/>
  <c r="J116" i="5"/>
  <c r="L88" i="5"/>
  <c r="D53" i="5"/>
  <c r="D63" i="5"/>
  <c r="D65" i="5"/>
  <c r="D72" i="5"/>
  <c r="D73" i="5"/>
  <c r="D86" i="5"/>
  <c r="D121" i="5"/>
  <c r="J63" i="5"/>
  <c r="L62" i="5"/>
  <c r="J54" i="5"/>
  <c r="J53" i="5"/>
  <c r="L52" i="5"/>
  <c r="L71" i="5"/>
  <c r="L79" i="5"/>
  <c r="L4" i="5"/>
  <c r="D285" i="6"/>
  <c r="F300" i="6"/>
  <c r="D300" i="6"/>
  <c r="C300" i="6"/>
  <c r="F299" i="6"/>
  <c r="D299" i="6"/>
  <c r="C299" i="6"/>
  <c r="F291" i="6"/>
  <c r="D291" i="6"/>
  <c r="C291" i="6"/>
  <c r="F292" i="6"/>
  <c r="D292" i="6"/>
  <c r="C292" i="6"/>
  <c r="D293" i="6"/>
  <c r="C293" i="6"/>
  <c r="F290" i="6"/>
  <c r="D290" i="6"/>
  <c r="C290" i="6"/>
  <c r="D251" i="6"/>
  <c r="D232" i="6"/>
  <c r="D220" i="6"/>
  <c r="D208" i="6"/>
  <c r="D173" i="6"/>
  <c r="D110" i="6"/>
  <c r="D109" i="6"/>
  <c r="D108" i="6"/>
  <c r="D107" i="6"/>
  <c r="D100" i="6"/>
  <c r="D86" i="6"/>
  <c r="D78" i="6"/>
  <c r="D74" i="6"/>
  <c r="D68" i="6"/>
  <c r="D58" i="6"/>
  <c r="D49" i="6"/>
  <c r="D48" i="6"/>
  <c r="D44" i="6"/>
  <c r="D42" i="6"/>
  <c r="D38" i="6"/>
  <c r="D32" i="6"/>
  <c r="D30" i="6"/>
  <c r="D26" i="6"/>
  <c r="D22" i="6"/>
  <c r="D18" i="6"/>
  <c r="J238" i="6"/>
  <c r="J93" i="6"/>
  <c r="L243" i="6"/>
  <c r="J240" i="6"/>
  <c r="L234" i="6"/>
  <c r="L255" i="6"/>
  <c r="J226" i="6"/>
  <c r="J224" i="6"/>
  <c r="L222" i="6"/>
  <c r="J218" i="6"/>
  <c r="L210" i="6"/>
  <c r="K209" i="6"/>
  <c r="K218" i="6" s="1"/>
  <c r="F259" i="6"/>
  <c r="L41" i="6"/>
  <c r="L175" i="6"/>
  <c r="L166" i="6"/>
  <c r="K174" i="6"/>
  <c r="L154" i="6"/>
  <c r="L132" i="6"/>
  <c r="L124" i="6"/>
  <c r="J115" i="6"/>
  <c r="J118" i="6" s="1"/>
  <c r="L114" i="6"/>
  <c r="L106" i="6"/>
  <c r="L98" i="6"/>
  <c r="J89" i="6"/>
  <c r="L85" i="6"/>
  <c r="L77" i="6"/>
  <c r="L67" i="6"/>
  <c r="L47" i="6"/>
  <c r="L56" i="6"/>
  <c r="L37" i="6"/>
  <c r="L29" i="6"/>
  <c r="L21" i="6"/>
  <c r="L25" i="6"/>
  <c r="L5" i="6"/>
  <c r="J7" i="6"/>
  <c r="J8" i="6"/>
  <c r="K4" i="6"/>
  <c r="K128" i="6" s="1"/>
  <c r="J189" i="5" l="1"/>
  <c r="J101" i="6"/>
  <c r="J6" i="6"/>
  <c r="J39" i="6"/>
  <c r="J99" i="6"/>
  <c r="J17" i="6"/>
  <c r="J58" i="6"/>
  <c r="J82" i="6"/>
  <c r="J100" i="6"/>
  <c r="J149" i="6"/>
  <c r="J236" i="6"/>
  <c r="J38" i="6"/>
  <c r="J68" i="6"/>
  <c r="J96" i="6"/>
  <c r="J16" i="6"/>
  <c r="J81" i="6"/>
  <c r="J10" i="6"/>
  <c r="J23" i="6"/>
  <c r="J49" i="6"/>
  <c r="J79" i="6"/>
  <c r="J108" i="6"/>
  <c r="J88" i="6"/>
  <c r="J15" i="6"/>
  <c r="J22" i="6"/>
  <c r="J80" i="6"/>
  <c r="J109" i="6"/>
  <c r="J159" i="6"/>
  <c r="J9" i="6"/>
  <c r="J50" i="6"/>
  <c r="J87" i="6"/>
  <c r="J158" i="6"/>
  <c r="J14" i="6"/>
  <c r="J59" i="6"/>
  <c r="J74" i="6"/>
  <c r="J119" i="6"/>
  <c r="J228" i="6"/>
  <c r="J247" i="6"/>
  <c r="J147" i="6"/>
  <c r="J245" i="6"/>
  <c r="J30" i="6"/>
  <c r="J13" i="6"/>
  <c r="J31" i="6"/>
  <c r="J86" i="6"/>
  <c r="J107" i="6"/>
  <c r="J212" i="6"/>
  <c r="J230" i="6"/>
  <c r="J249" i="6"/>
  <c r="J52" i="6"/>
  <c r="J12" i="6"/>
  <c r="J18" i="6" s="1"/>
  <c r="J26" i="6"/>
  <c r="J32" i="6"/>
  <c r="J78" i="6"/>
  <c r="J94" i="6"/>
  <c r="J111" i="6"/>
  <c r="J128" i="6"/>
  <c r="J214" i="6"/>
  <c r="J91" i="6"/>
  <c r="J35" i="6"/>
  <c r="J150" i="6"/>
  <c r="J11" i="6"/>
  <c r="J27" i="6"/>
  <c r="J33" i="6"/>
  <c r="J48" i="6"/>
  <c r="J83" i="6"/>
  <c r="J92" i="6"/>
  <c r="J110" i="6"/>
  <c r="J216" i="6"/>
  <c r="J90" i="6"/>
  <c r="J61" i="6"/>
  <c r="J186" i="5"/>
  <c r="J194" i="5"/>
  <c r="K194" i="5"/>
  <c r="D221" i="7"/>
  <c r="D222" i="7"/>
  <c r="L104" i="5"/>
  <c r="L59" i="5"/>
  <c r="L56" i="5"/>
  <c r="L57" i="5"/>
  <c r="L60" i="5"/>
  <c r="J81" i="5"/>
  <c r="K108" i="5"/>
  <c r="K92" i="5"/>
  <c r="K100" i="5"/>
  <c r="K96" i="5"/>
  <c r="K106" i="5"/>
  <c r="L106" i="5" s="1"/>
  <c r="K94" i="5"/>
  <c r="L94" i="5" s="1"/>
  <c r="K102" i="5"/>
  <c r="L102" i="5" s="1"/>
  <c r="K110" i="5"/>
  <c r="K104" i="5"/>
  <c r="K112" i="5"/>
  <c r="L112" i="5" s="1"/>
  <c r="K90" i="5"/>
  <c r="K98" i="5"/>
  <c r="K114" i="5"/>
  <c r="L114" i="5" s="1"/>
  <c r="L100" i="5"/>
  <c r="L110" i="5"/>
  <c r="L96" i="5"/>
  <c r="L90" i="5"/>
  <c r="L92" i="5"/>
  <c r="L98" i="5"/>
  <c r="L108" i="5"/>
  <c r="C91" i="6"/>
  <c r="C83" i="6"/>
  <c r="C93" i="6"/>
  <c r="C96" i="6"/>
  <c r="C101" i="6"/>
  <c r="C82" i="6"/>
  <c r="C92" i="6"/>
  <c r="C111" i="6"/>
  <c r="C75" i="6"/>
  <c r="C59" i="6"/>
  <c r="C69" i="6"/>
  <c r="C35" i="6"/>
  <c r="C61" i="6"/>
  <c r="C23" i="6"/>
  <c r="C7" i="6"/>
  <c r="C17" i="6"/>
  <c r="C19" i="6"/>
  <c r="C31" i="6"/>
  <c r="C39" i="6"/>
  <c r="C27" i="6"/>
  <c r="C9" i="6"/>
  <c r="C11" i="6"/>
  <c r="C33" i="6"/>
  <c r="C50" i="6"/>
  <c r="C52" i="6"/>
  <c r="C13" i="6"/>
  <c r="C15" i="6"/>
  <c r="C258" i="6"/>
  <c r="C6" i="5"/>
  <c r="C37" i="5"/>
  <c r="C69" i="5"/>
  <c r="C145" i="5"/>
  <c r="C5" i="5"/>
  <c r="C147" i="5"/>
  <c r="C54" i="5"/>
  <c r="C74" i="5"/>
  <c r="C8" i="5"/>
  <c r="C236" i="6"/>
  <c r="C47" i="5"/>
  <c r="C143" i="5"/>
  <c r="C238" i="6"/>
  <c r="C18" i="5"/>
  <c r="C46" i="5"/>
  <c r="C240" i="6"/>
  <c r="C19" i="5"/>
  <c r="C38" i="5"/>
  <c r="C66" i="5"/>
  <c r="C129" i="6"/>
  <c r="C149" i="6"/>
  <c r="C150" i="6"/>
  <c r="C158" i="6"/>
  <c r="C159" i="6"/>
  <c r="C128" i="6"/>
  <c r="C147" i="6"/>
  <c r="C51" i="1"/>
  <c r="C57" i="1"/>
  <c r="C44" i="1"/>
  <c r="C46" i="1"/>
  <c r="C58" i="1"/>
  <c r="C59" i="1"/>
  <c r="C60" i="1"/>
  <c r="C52" i="1"/>
  <c r="C64" i="1"/>
  <c r="C53" i="1"/>
  <c r="C65" i="1"/>
  <c r="C54" i="1"/>
  <c r="K153" i="5"/>
  <c r="L153" i="5" s="1"/>
  <c r="K127" i="5"/>
  <c r="L127" i="5" s="1"/>
  <c r="K143" i="5"/>
  <c r="L143" i="5" s="1"/>
  <c r="K145" i="5"/>
  <c r="L145" i="5" s="1"/>
  <c r="K155" i="5"/>
  <c r="K129" i="5"/>
  <c r="L129" i="5" s="1"/>
  <c r="K147" i="5"/>
  <c r="L147" i="5" s="1"/>
  <c r="K131" i="5"/>
  <c r="L131" i="5" s="1"/>
  <c r="K137" i="5"/>
  <c r="L137" i="5" s="1"/>
  <c r="K151" i="5"/>
  <c r="L151" i="5" s="1"/>
  <c r="K125" i="5"/>
  <c r="L125" i="5" s="1"/>
  <c r="C199" i="5"/>
  <c r="D199" i="5"/>
  <c r="D200" i="5" s="1"/>
  <c r="F199" i="5"/>
  <c r="F200" i="5" s="1"/>
  <c r="C192" i="5"/>
  <c r="D192" i="5"/>
  <c r="D193" i="5" s="1"/>
  <c r="D194" i="5" s="1"/>
  <c r="F192" i="5"/>
  <c r="F193" i="5" s="1"/>
  <c r="F194" i="5" s="1"/>
  <c r="L179" i="5"/>
  <c r="L155" i="5"/>
  <c r="K169" i="5"/>
  <c r="L169" i="5" s="1"/>
  <c r="K162" i="5"/>
  <c r="L162" i="5" s="1"/>
  <c r="K166" i="5"/>
  <c r="L166" i="5" s="1"/>
  <c r="K165" i="5"/>
  <c r="L165" i="5" s="1"/>
  <c r="L176" i="5"/>
  <c r="L173" i="5"/>
  <c r="K161" i="5"/>
  <c r="L161" i="5" s="1"/>
  <c r="K168" i="5"/>
  <c r="L168" i="5" s="1"/>
  <c r="L172" i="5"/>
  <c r="L175" i="5"/>
  <c r="K164" i="5"/>
  <c r="K167" i="5"/>
  <c r="L167" i="5" s="1"/>
  <c r="L181" i="5"/>
  <c r="L178" i="5"/>
  <c r="L197" i="5"/>
  <c r="K170" i="5"/>
  <c r="L170" i="5" s="1"/>
  <c r="L180" i="5"/>
  <c r="L174" i="5"/>
  <c r="K163" i="5"/>
  <c r="L177" i="5"/>
  <c r="K37" i="5"/>
  <c r="L37" i="5" s="1"/>
  <c r="K69" i="5"/>
  <c r="L69" i="5" s="1"/>
  <c r="K38" i="5"/>
  <c r="L38" i="5" s="1"/>
  <c r="K74" i="5"/>
  <c r="L74" i="5" s="1"/>
  <c r="K47" i="5"/>
  <c r="L47" i="5" s="1"/>
  <c r="K66" i="5"/>
  <c r="L66" i="5" s="1"/>
  <c r="K46" i="5"/>
  <c r="L46" i="5" s="1"/>
  <c r="K18" i="5"/>
  <c r="L18" i="5" s="1"/>
  <c r="K116" i="5"/>
  <c r="L116" i="5" s="1"/>
  <c r="K118" i="5"/>
  <c r="L118" i="5" s="1"/>
  <c r="K73" i="5"/>
  <c r="K101" i="6"/>
  <c r="L101" i="6" s="1"/>
  <c r="K150" i="6"/>
  <c r="L150" i="6" s="1"/>
  <c r="K54" i="5"/>
  <c r="L54" i="5" s="1"/>
  <c r="K81" i="5"/>
  <c r="K63" i="5"/>
  <c r="L63" i="5" s="1"/>
  <c r="F154" i="7" s="1"/>
  <c r="K5" i="5"/>
  <c r="K6" i="5"/>
  <c r="K53" i="5"/>
  <c r="L53" i="5" s="1"/>
  <c r="K7" i="5"/>
  <c r="K72" i="5"/>
  <c r="K83" i="5"/>
  <c r="J83" i="5"/>
  <c r="J72" i="5"/>
  <c r="J6" i="5"/>
  <c r="J73" i="5"/>
  <c r="J5" i="5"/>
  <c r="J7" i="5"/>
  <c r="L7" i="5" s="1"/>
  <c r="K147" i="6"/>
  <c r="K238" i="6"/>
  <c r="L238" i="6" s="1"/>
  <c r="K88" i="6"/>
  <c r="K52" i="6"/>
  <c r="L52" i="6" s="1"/>
  <c r="K87" i="6"/>
  <c r="K61" i="6"/>
  <c r="K93" i="6"/>
  <c r="L93" i="6" s="1"/>
  <c r="K35" i="6"/>
  <c r="L35" i="6" s="1"/>
  <c r="K96" i="6"/>
  <c r="L96" i="6" s="1"/>
  <c r="K158" i="6"/>
  <c r="L158" i="6" s="1"/>
  <c r="K91" i="6"/>
  <c r="L91" i="6" s="1"/>
  <c r="K90" i="6"/>
  <c r="L90" i="6" s="1"/>
  <c r="K240" i="6"/>
  <c r="L240" i="6" s="1"/>
  <c r="K249" i="6"/>
  <c r="L249" i="6" s="1"/>
  <c r="K245" i="6"/>
  <c r="L245" i="6" s="1"/>
  <c r="K247" i="6"/>
  <c r="K236" i="6"/>
  <c r="K224" i="6"/>
  <c r="L224" i="6" s="1"/>
  <c r="K228" i="6"/>
  <c r="L228" i="6" s="1"/>
  <c r="K226" i="6"/>
  <c r="L226" i="6" s="1"/>
  <c r="K230" i="6"/>
  <c r="K214" i="6"/>
  <c r="L214" i="6" s="1"/>
  <c r="K216" i="6"/>
  <c r="L216" i="6" s="1"/>
  <c r="L218" i="6"/>
  <c r="K212" i="6"/>
  <c r="J116" i="6"/>
  <c r="J117" i="6"/>
  <c r="K58" i="6"/>
  <c r="K8" i="6"/>
  <c r="K16" i="6"/>
  <c r="K32" i="6"/>
  <c r="K49" i="6"/>
  <c r="K12" i="6"/>
  <c r="K23" i="6"/>
  <c r="K78" i="6"/>
  <c r="K100" i="6"/>
  <c r="K83" i="6"/>
  <c r="K79" i="6"/>
  <c r="K59" i="6"/>
  <c r="K109" i="6"/>
  <c r="K159" i="6"/>
  <c r="L159" i="6" s="1"/>
  <c r="K14" i="6"/>
  <c r="K27" i="6"/>
  <c r="K30" i="6"/>
  <c r="K6" i="6"/>
  <c r="K38" i="6"/>
  <c r="K89" i="6"/>
  <c r="K108" i="6"/>
  <c r="K50" i="6"/>
  <c r="K92" i="6"/>
  <c r="K10" i="6"/>
  <c r="K17" i="6"/>
  <c r="K13" i="6"/>
  <c r="K9" i="6"/>
  <c r="K31" i="6"/>
  <c r="K68" i="6"/>
  <c r="K82" i="6"/>
  <c r="K107" i="6"/>
  <c r="K119" i="6"/>
  <c r="K22" i="6"/>
  <c r="K39" i="6"/>
  <c r="K48" i="6"/>
  <c r="K111" i="6"/>
  <c r="K149" i="6"/>
  <c r="K74" i="6"/>
  <c r="K81" i="6"/>
  <c r="K86" i="6"/>
  <c r="K94" i="6"/>
  <c r="K99" i="6"/>
  <c r="K110" i="6"/>
  <c r="K115" i="6"/>
  <c r="K15" i="6"/>
  <c r="K11" i="6"/>
  <c r="K7" i="6"/>
  <c r="K26" i="6"/>
  <c r="K33" i="6"/>
  <c r="K80" i="6"/>
  <c r="L298" i="6"/>
  <c r="L295" i="6"/>
  <c r="L290" i="6"/>
  <c r="L287" i="6"/>
  <c r="L261" i="6"/>
  <c r="L194" i="5" l="1"/>
  <c r="L230" i="6"/>
  <c r="L87" i="6"/>
  <c r="L88" i="6"/>
  <c r="J19" i="6"/>
  <c r="L212" i="6"/>
  <c r="L247" i="6"/>
  <c r="L61" i="6"/>
  <c r="F54" i="7"/>
  <c r="G54" i="7"/>
  <c r="E154" i="7"/>
  <c r="I154" i="7"/>
  <c r="E219" i="7"/>
  <c r="H154" i="7"/>
  <c r="G154" i="7"/>
  <c r="G153" i="7"/>
  <c r="F153" i="7"/>
  <c r="I153" i="7"/>
  <c r="E153" i="7"/>
  <c r="H153" i="7"/>
  <c r="H54" i="7"/>
  <c r="I54" i="7"/>
  <c r="E54" i="7"/>
  <c r="L198" i="5"/>
  <c r="O194" i="5"/>
  <c r="L164" i="5"/>
  <c r="K186" i="5"/>
  <c r="L186" i="5" s="1"/>
  <c r="L163" i="5"/>
  <c r="K189" i="5"/>
  <c r="L189" i="5" s="1"/>
  <c r="L6" i="5"/>
  <c r="E195" i="7"/>
  <c r="F195" i="7"/>
  <c r="I195" i="7"/>
  <c r="G195" i="7"/>
  <c r="H195" i="7"/>
  <c r="F196" i="7"/>
  <c r="G196" i="7"/>
  <c r="H196" i="7"/>
  <c r="I196" i="7"/>
  <c r="E196" i="7"/>
  <c r="L81" i="5"/>
  <c r="C193" i="5"/>
  <c r="C194" i="5" s="1"/>
  <c r="C200" i="5"/>
  <c r="J17" i="7"/>
  <c r="I197" i="7"/>
  <c r="H197" i="7"/>
  <c r="H198" i="7"/>
  <c r="I198" i="7"/>
  <c r="G193" i="7"/>
  <c r="G192" i="7" s="1"/>
  <c r="H193" i="7"/>
  <c r="H192" i="7" s="1"/>
  <c r="I193" i="7"/>
  <c r="I192" i="7" s="1"/>
  <c r="H186" i="7"/>
  <c r="H185" i="7" s="1"/>
  <c r="I186" i="7"/>
  <c r="I185" i="7" s="1"/>
  <c r="H100" i="7"/>
  <c r="I100" i="7"/>
  <c r="G186" i="7"/>
  <c r="G185" i="7" s="1"/>
  <c r="E186" i="7"/>
  <c r="F186" i="7"/>
  <c r="F185" i="7" s="1"/>
  <c r="F193" i="7"/>
  <c r="F192" i="7" s="1"/>
  <c r="E193" i="7"/>
  <c r="E192" i="7" s="1"/>
  <c r="F197" i="7"/>
  <c r="G197" i="7"/>
  <c r="E197" i="7"/>
  <c r="G198" i="7"/>
  <c r="F198" i="7"/>
  <c r="E198" i="7"/>
  <c r="L73" i="5"/>
  <c r="F100" i="7"/>
  <c r="E100" i="7"/>
  <c r="G100" i="7"/>
  <c r="L72" i="5"/>
  <c r="L83" i="5"/>
  <c r="L5" i="5"/>
  <c r="K8" i="5"/>
  <c r="J8" i="5"/>
  <c r="L147" i="6"/>
  <c r="L236" i="6"/>
  <c r="K118" i="6"/>
  <c r="K117" i="6"/>
  <c r="K116" i="6"/>
  <c r="K19" i="6"/>
  <c r="K18" i="6"/>
  <c r="I151" i="7" l="1"/>
  <c r="I150" i="7" s="1"/>
  <c r="G151" i="7"/>
  <c r="G150" i="7" s="1"/>
  <c r="F151" i="7"/>
  <c r="F150" i="7" s="1"/>
  <c r="E151" i="7"/>
  <c r="E150" i="7" s="1"/>
  <c r="H151" i="7"/>
  <c r="H150" i="7" s="1"/>
  <c r="L190" i="5"/>
  <c r="H218" i="7" s="1"/>
  <c r="O189" i="5"/>
  <c r="E218" i="7"/>
  <c r="E217" i="7" s="1"/>
  <c r="E149" i="7"/>
  <c r="E148" i="7" s="1"/>
  <c r="H149" i="7"/>
  <c r="H148" i="7" s="1"/>
  <c r="F149" i="7"/>
  <c r="F148" i="7" s="1"/>
  <c r="I149" i="7"/>
  <c r="I148" i="7" s="1"/>
  <c r="G149" i="7"/>
  <c r="L8" i="5"/>
  <c r="H216" i="7" s="1"/>
  <c r="H194" i="7"/>
  <c r="H191" i="7" s="1"/>
  <c r="G194" i="7"/>
  <c r="G191" i="7" s="1"/>
  <c r="I194" i="7"/>
  <c r="I191" i="7" s="1"/>
  <c r="J196" i="7"/>
  <c r="F194" i="7"/>
  <c r="F191" i="7" s="1"/>
  <c r="J195" i="7"/>
  <c r="E194" i="7"/>
  <c r="H219" i="7"/>
  <c r="I219" i="7"/>
  <c r="E185" i="7"/>
  <c r="J185" i="7" s="1"/>
  <c r="J186" i="7"/>
  <c r="J193" i="7"/>
  <c r="G219" i="7"/>
  <c r="F219" i="7"/>
  <c r="J154" i="7"/>
  <c r="G148" i="7"/>
  <c r="J197" i="7"/>
  <c r="J198" i="7"/>
  <c r="J100" i="7"/>
  <c r="J153" i="7"/>
  <c r="J54" i="7"/>
  <c r="L92" i="6"/>
  <c r="L79" i="6"/>
  <c r="L38" i="6"/>
  <c r="L83" i="6"/>
  <c r="L8" i="6"/>
  <c r="L16" i="6"/>
  <c r="L119" i="6"/>
  <c r="L89" i="6"/>
  <c r="L13" i="6"/>
  <c r="L30" i="6"/>
  <c r="L12" i="6"/>
  <c r="L99" i="6"/>
  <c r="L116" i="6"/>
  <c r="L86" i="6"/>
  <c r="L50" i="6"/>
  <c r="L15" i="6"/>
  <c r="L48" i="6"/>
  <c r="L117" i="6"/>
  <c r="L17" i="6"/>
  <c r="L9" i="6"/>
  <c r="L59" i="6"/>
  <c r="I98" i="7" s="1"/>
  <c r="L118" i="6"/>
  <c r="L110" i="6"/>
  <c r="L32" i="6"/>
  <c r="L26" i="6"/>
  <c r="L23" i="6"/>
  <c r="L10" i="6"/>
  <c r="L14" i="6"/>
  <c r="L33" i="6"/>
  <c r="L111" i="6"/>
  <c r="L78" i="6"/>
  <c r="L108" i="6"/>
  <c r="L11" i="6"/>
  <c r="L82" i="6"/>
  <c r="L68" i="6"/>
  <c r="L81" i="6"/>
  <c r="L107" i="6"/>
  <c r="L39" i="6"/>
  <c r="E106" i="7" s="1"/>
  <c r="L100" i="6"/>
  <c r="L128" i="6"/>
  <c r="L27" i="6"/>
  <c r="L109" i="6"/>
  <c r="L58" i="6"/>
  <c r="L7" i="6"/>
  <c r="L80" i="6"/>
  <c r="L115" i="6"/>
  <c r="L22" i="6"/>
  <c r="L149" i="6"/>
  <c r="L49" i="6"/>
  <c r="L74" i="6"/>
  <c r="L94" i="6"/>
  <c r="L31" i="6"/>
  <c r="L6" i="6"/>
  <c r="E53" i="7" l="1"/>
  <c r="I216" i="7"/>
  <c r="I215" i="7" s="1"/>
  <c r="G46" i="7"/>
  <c r="H46" i="7"/>
  <c r="F46" i="7"/>
  <c r="E46" i="7"/>
  <c r="I46" i="7"/>
  <c r="I43" i="7"/>
  <c r="G43" i="7"/>
  <c r="F43" i="7"/>
  <c r="H43" i="7"/>
  <c r="E43" i="7"/>
  <c r="G51" i="7"/>
  <c r="F51" i="7"/>
  <c r="H51" i="7"/>
  <c r="E51" i="7"/>
  <c r="I51" i="7"/>
  <c r="E44" i="7"/>
  <c r="F44" i="7"/>
  <c r="I44" i="7"/>
  <c r="G44" i="7"/>
  <c r="H44" i="7"/>
  <c r="I50" i="7"/>
  <c r="G50" i="7"/>
  <c r="F50" i="7"/>
  <c r="E50" i="7"/>
  <c r="H50" i="7"/>
  <c r="F42" i="7"/>
  <c r="E42" i="7"/>
  <c r="I42" i="7"/>
  <c r="G42" i="7"/>
  <c r="H42" i="7"/>
  <c r="G38" i="7"/>
  <c r="H38" i="7"/>
  <c r="I38" i="7"/>
  <c r="F38" i="7"/>
  <c r="E38" i="7"/>
  <c r="G35" i="7"/>
  <c r="H35" i="7"/>
  <c r="I35" i="7"/>
  <c r="F35" i="7"/>
  <c r="E35" i="7"/>
  <c r="E34" i="7"/>
  <c r="G34" i="7"/>
  <c r="H34" i="7"/>
  <c r="I34" i="7"/>
  <c r="F34" i="7"/>
  <c r="G53" i="7"/>
  <c r="G52" i="7" s="1"/>
  <c r="F53" i="7"/>
  <c r="F52" i="7" s="1"/>
  <c r="H53" i="7"/>
  <c r="H52" i="7" s="1"/>
  <c r="I53" i="7"/>
  <c r="I52" i="7" s="1"/>
  <c r="E33" i="7"/>
  <c r="I33" i="7"/>
  <c r="G33" i="7"/>
  <c r="H33" i="7"/>
  <c r="F33" i="7"/>
  <c r="F39" i="7"/>
  <c r="G39" i="7"/>
  <c r="H39" i="7"/>
  <c r="I39" i="7"/>
  <c r="E39" i="7"/>
  <c r="F216" i="7"/>
  <c r="F215" i="7" s="1"/>
  <c r="G216" i="7"/>
  <c r="J194" i="7"/>
  <c r="E216" i="7"/>
  <c r="F218" i="7"/>
  <c r="F217" i="7" s="1"/>
  <c r="H217" i="7"/>
  <c r="I218" i="7"/>
  <c r="I217" i="7" s="1"/>
  <c r="G218" i="7"/>
  <c r="G217" i="7" s="1"/>
  <c r="I99" i="7"/>
  <c r="I97" i="7" s="1"/>
  <c r="H99" i="7"/>
  <c r="H105" i="7"/>
  <c r="I105" i="7"/>
  <c r="H108" i="7"/>
  <c r="I108" i="7"/>
  <c r="J150" i="7"/>
  <c r="J151" i="7"/>
  <c r="J219" i="7"/>
  <c r="J149" i="7"/>
  <c r="J148" i="7"/>
  <c r="E191" i="7"/>
  <c r="E105" i="7"/>
  <c r="F105" i="7"/>
  <c r="G105" i="7"/>
  <c r="E99" i="7"/>
  <c r="G99" i="7"/>
  <c r="F99" i="7"/>
  <c r="F108" i="7"/>
  <c r="G108" i="7"/>
  <c r="E108" i="7"/>
  <c r="E107" i="7"/>
  <c r="F107" i="7"/>
  <c r="G107" i="7"/>
  <c r="H107" i="7"/>
  <c r="I107" i="7"/>
  <c r="F86" i="7"/>
  <c r="H86" i="7"/>
  <c r="E86" i="7"/>
  <c r="I86" i="7"/>
  <c r="G86" i="7"/>
  <c r="F85" i="7"/>
  <c r="G85" i="7"/>
  <c r="H85" i="7"/>
  <c r="I85" i="7"/>
  <c r="E85" i="7"/>
  <c r="F88" i="7"/>
  <c r="G88" i="7"/>
  <c r="H88" i="7"/>
  <c r="I88" i="7"/>
  <c r="E88" i="7"/>
  <c r="E91" i="7"/>
  <c r="F91" i="7"/>
  <c r="I91" i="7"/>
  <c r="G91" i="7"/>
  <c r="H91" i="7"/>
  <c r="G89" i="7"/>
  <c r="F89" i="7"/>
  <c r="H89" i="7"/>
  <c r="I89" i="7"/>
  <c r="E89" i="7"/>
  <c r="H90" i="7"/>
  <c r="F90" i="7"/>
  <c r="I90" i="7"/>
  <c r="G90" i="7"/>
  <c r="E90" i="7"/>
  <c r="F106" i="7"/>
  <c r="G106" i="7"/>
  <c r="H106" i="7"/>
  <c r="I106" i="7"/>
  <c r="I103" i="7"/>
  <c r="G103" i="7"/>
  <c r="E103" i="7"/>
  <c r="H103" i="7"/>
  <c r="F103" i="7"/>
  <c r="F104" i="7"/>
  <c r="G104" i="7"/>
  <c r="H104" i="7"/>
  <c r="I104" i="7"/>
  <c r="E104" i="7"/>
  <c r="G98" i="7"/>
  <c r="H98" i="7"/>
  <c r="F98" i="7"/>
  <c r="E98" i="7"/>
  <c r="L19" i="6"/>
  <c r="I102" i="7" s="1"/>
  <c r="L18" i="6"/>
  <c r="K165" i="6"/>
  <c r="K260" i="6"/>
  <c r="J267" i="6" s="1"/>
  <c r="C3" i="7"/>
  <c r="J274" i="6"/>
  <c r="J296" i="6" s="1"/>
  <c r="K274" i="6"/>
  <c r="K296" i="6" s="1"/>
  <c r="J275" i="6"/>
  <c r="J299" i="6" s="1"/>
  <c r="K275" i="6"/>
  <c r="K299" i="6" s="1"/>
  <c r="J276" i="6"/>
  <c r="K276" i="6"/>
  <c r="J277" i="6"/>
  <c r="K277" i="6"/>
  <c r="J278" i="6"/>
  <c r="K278" i="6"/>
  <c r="J279" i="6"/>
  <c r="K279" i="6"/>
  <c r="J280" i="6"/>
  <c r="K280" i="6"/>
  <c r="J281" i="6"/>
  <c r="K281" i="6"/>
  <c r="J282" i="6"/>
  <c r="K282" i="6"/>
  <c r="J283" i="6"/>
  <c r="K283" i="6"/>
  <c r="F225" i="7"/>
  <c r="G225" i="7" s="1"/>
  <c r="H225" i="7" s="1"/>
  <c r="I225" i="7" s="1"/>
  <c r="F69" i="6"/>
  <c r="E226" i="7"/>
  <c r="F226" i="7" s="1"/>
  <c r="G226" i="7" s="1"/>
  <c r="H226" i="7" s="1"/>
  <c r="I226" i="7" s="1"/>
  <c r="I227" i="7" s="1"/>
  <c r="I228" i="7" s="1"/>
  <c r="F57" i="6"/>
  <c r="F75" i="6" s="1"/>
  <c r="E64" i="1"/>
  <c r="E71" i="1" s="1"/>
  <c r="E46" i="1" s="1"/>
  <c r="E36" i="5" s="1"/>
  <c r="F18" i="7"/>
  <c r="J18" i="7" s="1"/>
  <c r="F16" i="7"/>
  <c r="C301" i="6"/>
  <c r="C302" i="6" s="1"/>
  <c r="D301" i="6"/>
  <c r="D302" i="6" s="1"/>
  <c r="E58" i="1"/>
  <c r="E70" i="1" s="1"/>
  <c r="E45" i="1" s="1"/>
  <c r="E52" i="1"/>
  <c r="E69" i="1" s="1"/>
  <c r="E44" i="1" s="1"/>
  <c r="E133" i="6" s="1"/>
  <c r="H215" i="7"/>
  <c r="J270" i="6" l="1"/>
  <c r="K259" i="6"/>
  <c r="L259" i="6" s="1"/>
  <c r="I134" i="7" s="1"/>
  <c r="I133" i="7" s="1"/>
  <c r="J42" i="6"/>
  <c r="J259" i="6"/>
  <c r="J191" i="6"/>
  <c r="L191" i="6" s="1"/>
  <c r="J189" i="6"/>
  <c r="J187" i="6"/>
  <c r="J177" i="6"/>
  <c r="J181" i="6"/>
  <c r="J195" i="6"/>
  <c r="L195" i="6" s="1"/>
  <c r="J179" i="6"/>
  <c r="J193" i="6"/>
  <c r="L193" i="6" s="1"/>
  <c r="J201" i="6"/>
  <c r="L201" i="6" s="1"/>
  <c r="J185" i="6"/>
  <c r="J199" i="6"/>
  <c r="L199" i="6" s="1"/>
  <c r="J183" i="6"/>
  <c r="J197" i="6"/>
  <c r="L197" i="6" s="1"/>
  <c r="J205" i="6"/>
  <c r="J203" i="6"/>
  <c r="K199" i="6"/>
  <c r="K191" i="6"/>
  <c r="K197" i="6"/>
  <c r="K193" i="6"/>
  <c r="K195" i="6"/>
  <c r="K201" i="6"/>
  <c r="F41" i="7"/>
  <c r="F40" i="7" s="1"/>
  <c r="H41" i="7"/>
  <c r="H40" i="7" s="1"/>
  <c r="I41" i="7"/>
  <c r="I40" i="7" s="1"/>
  <c r="E41" i="7"/>
  <c r="G41" i="7"/>
  <c r="G40" i="7" s="1"/>
  <c r="K36" i="5"/>
  <c r="J36" i="5"/>
  <c r="L36" i="5" s="1"/>
  <c r="E204" i="6"/>
  <c r="E117" i="5"/>
  <c r="E148" i="6"/>
  <c r="K177" i="6"/>
  <c r="K187" i="6"/>
  <c r="L187" i="6" s="1"/>
  <c r="K179" i="6"/>
  <c r="L179" i="6" s="1"/>
  <c r="K185" i="6"/>
  <c r="L185" i="6" s="1"/>
  <c r="K183" i="6"/>
  <c r="K189" i="6"/>
  <c r="L189" i="6" s="1"/>
  <c r="K181" i="6"/>
  <c r="J218" i="7"/>
  <c r="E227" i="7"/>
  <c r="E228" i="7" s="1"/>
  <c r="H97" i="7"/>
  <c r="H227" i="7"/>
  <c r="H228" i="7" s="1"/>
  <c r="F227" i="7"/>
  <c r="F228" i="7" s="1"/>
  <c r="G227" i="7"/>
  <c r="G228" i="7" s="1"/>
  <c r="E97" i="7"/>
  <c r="E150" i="5"/>
  <c r="E35" i="5"/>
  <c r="E144" i="5"/>
  <c r="E34" i="5"/>
  <c r="E142" i="5"/>
  <c r="E26" i="5"/>
  <c r="E144" i="6"/>
  <c r="E25" i="5"/>
  <c r="E17" i="5"/>
  <c r="E128" i="5"/>
  <c r="E99" i="5"/>
  <c r="E97" i="5"/>
  <c r="E152" i="5"/>
  <c r="E45" i="5"/>
  <c r="E93" i="5"/>
  <c r="E32" i="5"/>
  <c r="E103" i="5"/>
  <c r="E154" i="5"/>
  <c r="E33" i="5"/>
  <c r="E105" i="5"/>
  <c r="E126" i="5"/>
  <c r="E31" i="5"/>
  <c r="E15" i="5"/>
  <c r="E101" i="5"/>
  <c r="E64" i="5"/>
  <c r="F65" i="5" s="1"/>
  <c r="E146" i="5"/>
  <c r="E30" i="5"/>
  <c r="E115" i="5"/>
  <c r="E29" i="5"/>
  <c r="E113" i="5"/>
  <c r="E130" i="5"/>
  <c r="E24" i="5"/>
  <c r="E43" i="5"/>
  <c r="E28" i="5"/>
  <c r="E111" i="5"/>
  <c r="E91" i="5"/>
  <c r="E107" i="5"/>
  <c r="E109" i="5"/>
  <c r="E95" i="5"/>
  <c r="E136" i="5"/>
  <c r="E23" i="5"/>
  <c r="E44" i="5"/>
  <c r="E16" i="5"/>
  <c r="E89" i="5"/>
  <c r="E27" i="5"/>
  <c r="E124" i="5"/>
  <c r="G97" i="7"/>
  <c r="F97" i="7"/>
  <c r="J108" i="7"/>
  <c r="I87" i="7"/>
  <c r="I84" i="7" s="1"/>
  <c r="H87" i="7"/>
  <c r="H84" i="7" s="1"/>
  <c r="G87" i="7"/>
  <c r="G84" i="7" s="1"/>
  <c r="F87" i="7"/>
  <c r="F84" i="7" s="1"/>
  <c r="E87" i="7"/>
  <c r="E84" i="7" s="1"/>
  <c r="G215" i="7"/>
  <c r="E215" i="7"/>
  <c r="J107" i="7"/>
  <c r="H32" i="7"/>
  <c r="F32" i="7"/>
  <c r="I32" i="7"/>
  <c r="E32" i="7"/>
  <c r="E223" i="6"/>
  <c r="E211" i="6"/>
  <c r="H46" i="1"/>
  <c r="E227" i="6"/>
  <c r="E235" i="6"/>
  <c r="E237" i="6"/>
  <c r="E246" i="6"/>
  <c r="E215" i="6"/>
  <c r="E244" i="6"/>
  <c r="I45" i="1"/>
  <c r="E51" i="6"/>
  <c r="E239" i="6"/>
  <c r="E229" i="6"/>
  <c r="E95" i="6"/>
  <c r="E34" i="6"/>
  <c r="E248" i="6"/>
  <c r="E225" i="6"/>
  <c r="E217" i="6"/>
  <c r="E213" i="6"/>
  <c r="E60" i="6"/>
  <c r="G32" i="7"/>
  <c r="E52" i="7"/>
  <c r="J52" i="7" s="1"/>
  <c r="J53" i="7"/>
  <c r="C294" i="6"/>
  <c r="C295" i="6" s="1"/>
  <c r="C296" i="6" s="1"/>
  <c r="F301" i="6"/>
  <c r="F302" i="6" s="1"/>
  <c r="E134" i="7"/>
  <c r="F134" i="7"/>
  <c r="F133" i="7" s="1"/>
  <c r="D294" i="6"/>
  <c r="D295" i="6" s="1"/>
  <c r="D296" i="6" s="1"/>
  <c r="F294" i="6"/>
  <c r="F295" i="6" s="1"/>
  <c r="F296" i="6" s="1"/>
  <c r="J88" i="7"/>
  <c r="L283" i="6"/>
  <c r="L279" i="6"/>
  <c r="L281" i="6"/>
  <c r="L277" i="6"/>
  <c r="J42" i="7"/>
  <c r="J43" i="7"/>
  <c r="L282" i="6"/>
  <c r="L278" i="6"/>
  <c r="L274" i="6"/>
  <c r="J264" i="6"/>
  <c r="K42" i="6"/>
  <c r="L42" i="6" s="1"/>
  <c r="L280" i="6"/>
  <c r="L276" i="6"/>
  <c r="I101" i="7"/>
  <c r="F102" i="7"/>
  <c r="F101" i="7" s="1"/>
  <c r="G102" i="7"/>
  <c r="G101" i="7" s="1"/>
  <c r="H102" i="7"/>
  <c r="H101" i="7" s="1"/>
  <c r="E102" i="7"/>
  <c r="E101" i="7" s="1"/>
  <c r="J99" i="7"/>
  <c r="J168" i="6"/>
  <c r="K205" i="6"/>
  <c r="K203" i="6"/>
  <c r="L203" i="6" s="1"/>
  <c r="K75" i="6"/>
  <c r="J75" i="6"/>
  <c r="K69" i="6"/>
  <c r="J69" i="6"/>
  <c r="L299" i="6"/>
  <c r="L275" i="6"/>
  <c r="K170" i="6"/>
  <c r="K168" i="6"/>
  <c r="K268" i="6"/>
  <c r="K269" i="6"/>
  <c r="K267" i="6"/>
  <c r="K263" i="6"/>
  <c r="K272" i="6"/>
  <c r="K266" i="6"/>
  <c r="K271" i="6"/>
  <c r="K265" i="6"/>
  <c r="K270" i="6"/>
  <c r="L270" i="6" s="1"/>
  <c r="K264" i="6"/>
  <c r="J271" i="6"/>
  <c r="J266" i="6"/>
  <c r="J288" i="6" s="1"/>
  <c r="J170" i="6"/>
  <c r="J263" i="6"/>
  <c r="J269" i="6"/>
  <c r="J265" i="6"/>
  <c r="J291" i="6" s="1"/>
  <c r="J272" i="6"/>
  <c r="J268" i="6"/>
  <c r="E141" i="6"/>
  <c r="E167" i="6"/>
  <c r="E188" i="6"/>
  <c r="E43" i="6"/>
  <c r="I44" i="1"/>
  <c r="E156" i="6"/>
  <c r="E126" i="6"/>
  <c r="E137" i="6"/>
  <c r="E169" i="6"/>
  <c r="E176" i="6"/>
  <c r="E135" i="6"/>
  <c r="E143" i="6"/>
  <c r="E192" i="6"/>
  <c r="E136" i="6"/>
  <c r="E145" i="6"/>
  <c r="E180" i="6"/>
  <c r="E194" i="6"/>
  <c r="E134" i="6"/>
  <c r="E142" i="6"/>
  <c r="E190" i="6"/>
  <c r="E146" i="6"/>
  <c r="E182" i="6"/>
  <c r="E196" i="6"/>
  <c r="E125" i="6"/>
  <c r="E138" i="6"/>
  <c r="E155" i="6"/>
  <c r="E178" i="6"/>
  <c r="E198" i="6"/>
  <c r="E139" i="6"/>
  <c r="E184" i="6"/>
  <c r="E200" i="6"/>
  <c r="E127" i="6"/>
  <c r="E140" i="6"/>
  <c r="E157" i="6"/>
  <c r="E186" i="6"/>
  <c r="E202" i="6"/>
  <c r="H44" i="1"/>
  <c r="I46" i="1"/>
  <c r="H45" i="1"/>
  <c r="I49" i="7"/>
  <c r="E49" i="7"/>
  <c r="G49" i="7"/>
  <c r="J51" i="7"/>
  <c r="J34" i="7"/>
  <c r="J98" i="7"/>
  <c r="J104" i="7"/>
  <c r="J44" i="7"/>
  <c r="J105" i="7"/>
  <c r="J35" i="7"/>
  <c r="J85" i="7"/>
  <c r="J39" i="7"/>
  <c r="J106" i="7"/>
  <c r="J50" i="7"/>
  <c r="J91" i="7"/>
  <c r="J192" i="7"/>
  <c r="J103" i="7"/>
  <c r="H49" i="7"/>
  <c r="J89" i="7"/>
  <c r="J38" i="7"/>
  <c r="J191" i="7"/>
  <c r="C12" i="9" s="1"/>
  <c r="J90" i="7"/>
  <c r="E80" i="5"/>
  <c r="E82" i="5"/>
  <c r="F49" i="7"/>
  <c r="J33" i="7"/>
  <c r="J46" i="7"/>
  <c r="J86" i="7"/>
  <c r="H134" i="7" l="1"/>
  <c r="H133" i="7" s="1"/>
  <c r="L183" i="6"/>
  <c r="L205" i="6"/>
  <c r="G134" i="7"/>
  <c r="G133" i="7" s="1"/>
  <c r="L177" i="6"/>
  <c r="L181" i="6"/>
  <c r="K288" i="6"/>
  <c r="L267" i="6"/>
  <c r="K291" i="6"/>
  <c r="L291" i="6" s="1"/>
  <c r="G47" i="7"/>
  <c r="H47" i="7"/>
  <c r="F47" i="7"/>
  <c r="I47" i="7"/>
  <c r="E47" i="7"/>
  <c r="G189" i="7"/>
  <c r="H189" i="7"/>
  <c r="E189" i="7"/>
  <c r="I189" i="7"/>
  <c r="F189" i="7"/>
  <c r="J148" i="6"/>
  <c r="K148" i="6"/>
  <c r="L148" i="6" s="1"/>
  <c r="K117" i="5"/>
  <c r="J117" i="5"/>
  <c r="L117" i="5" s="1"/>
  <c r="J204" i="6"/>
  <c r="L204" i="6" s="1"/>
  <c r="K204" i="6"/>
  <c r="K144" i="6"/>
  <c r="L144" i="6" s="1"/>
  <c r="J144" i="6"/>
  <c r="J45" i="5"/>
  <c r="K45" i="5"/>
  <c r="K26" i="5"/>
  <c r="J26" i="5"/>
  <c r="L26" i="5" s="1"/>
  <c r="J93" i="5"/>
  <c r="K93" i="5"/>
  <c r="K152" i="5"/>
  <c r="J152" i="5"/>
  <c r="L152" i="5" s="1"/>
  <c r="K142" i="5"/>
  <c r="J142" i="5"/>
  <c r="L142" i="5" s="1"/>
  <c r="K97" i="5"/>
  <c r="J97" i="5"/>
  <c r="L97" i="5" s="1"/>
  <c r="J34" i="5"/>
  <c r="K34" i="5"/>
  <c r="J25" i="5"/>
  <c r="K25" i="5"/>
  <c r="J99" i="5"/>
  <c r="K99" i="5"/>
  <c r="K144" i="5"/>
  <c r="J144" i="5"/>
  <c r="L144" i="5" s="1"/>
  <c r="J128" i="5"/>
  <c r="K128" i="5"/>
  <c r="J35" i="5"/>
  <c r="K35" i="5"/>
  <c r="K17" i="5"/>
  <c r="J17" i="5"/>
  <c r="L17" i="5" s="1"/>
  <c r="K150" i="5"/>
  <c r="J150" i="5"/>
  <c r="L150" i="5" s="1"/>
  <c r="K109" i="5"/>
  <c r="J109" i="5"/>
  <c r="L109" i="5" s="1"/>
  <c r="K113" i="5"/>
  <c r="J113" i="5"/>
  <c r="L113" i="5" s="1"/>
  <c r="K31" i="5"/>
  <c r="J31" i="5"/>
  <c r="L31" i="5" s="1"/>
  <c r="J107" i="5"/>
  <c r="K107" i="5"/>
  <c r="J29" i="5"/>
  <c r="K29" i="5"/>
  <c r="K126" i="5"/>
  <c r="J126" i="5"/>
  <c r="L126" i="5" s="1"/>
  <c r="K95" i="5"/>
  <c r="J95" i="5"/>
  <c r="L95" i="5" s="1"/>
  <c r="K130" i="5"/>
  <c r="J130" i="5"/>
  <c r="L130" i="5" s="1"/>
  <c r="J91" i="5"/>
  <c r="K91" i="5"/>
  <c r="J115" i="5"/>
  <c r="K115" i="5"/>
  <c r="J105" i="5"/>
  <c r="K105" i="5"/>
  <c r="K15" i="5"/>
  <c r="J15" i="5"/>
  <c r="L15" i="5" s="1"/>
  <c r="J111" i="5"/>
  <c r="K111" i="5"/>
  <c r="J30" i="5"/>
  <c r="K30" i="5"/>
  <c r="J33" i="5"/>
  <c r="K33" i="5"/>
  <c r="K154" i="5"/>
  <c r="J154" i="5"/>
  <c r="L154" i="5" s="1"/>
  <c r="K28" i="5"/>
  <c r="J28" i="5"/>
  <c r="L28" i="5" s="1"/>
  <c r="K146" i="5"/>
  <c r="J146" i="5"/>
  <c r="L146" i="5" s="1"/>
  <c r="K43" i="5"/>
  <c r="J43" i="5"/>
  <c r="J65" i="5"/>
  <c r="K65" i="5"/>
  <c r="J103" i="5"/>
  <c r="K103" i="5"/>
  <c r="K24" i="5"/>
  <c r="J24" i="5"/>
  <c r="L24" i="5" s="1"/>
  <c r="K101" i="5"/>
  <c r="J101" i="5"/>
  <c r="L101" i="5" s="1"/>
  <c r="K32" i="5"/>
  <c r="J32" i="5"/>
  <c r="L32" i="5" s="1"/>
  <c r="J89" i="5"/>
  <c r="K89" i="5"/>
  <c r="K16" i="5"/>
  <c r="J16" i="5"/>
  <c r="J44" i="5"/>
  <c r="F48" i="5"/>
  <c r="K44" i="5"/>
  <c r="J23" i="5"/>
  <c r="K23" i="5"/>
  <c r="K124" i="5"/>
  <c r="J124" i="5"/>
  <c r="L124" i="5" s="1"/>
  <c r="K136" i="5"/>
  <c r="J136" i="5"/>
  <c r="L136" i="5" s="1"/>
  <c r="J27" i="5"/>
  <c r="K27" i="5"/>
  <c r="J97" i="7"/>
  <c r="K80" i="5"/>
  <c r="J80" i="5"/>
  <c r="J82" i="5"/>
  <c r="K82" i="5"/>
  <c r="J215" i="7"/>
  <c r="C17" i="9" s="1"/>
  <c r="J216" i="7"/>
  <c r="J87" i="7"/>
  <c r="J41" i="7"/>
  <c r="J40" i="7" s="1"/>
  <c r="J32" i="7"/>
  <c r="E40" i="7"/>
  <c r="K213" i="6"/>
  <c r="J213" i="6"/>
  <c r="J51" i="6"/>
  <c r="K51" i="6"/>
  <c r="K217" i="6"/>
  <c r="J217" i="6"/>
  <c r="K225" i="6"/>
  <c r="J225" i="6"/>
  <c r="K244" i="6"/>
  <c r="J244" i="6"/>
  <c r="K248" i="6"/>
  <c r="J248" i="6"/>
  <c r="K215" i="6"/>
  <c r="J215" i="6"/>
  <c r="J34" i="6"/>
  <c r="K34" i="6"/>
  <c r="J246" i="6"/>
  <c r="K246" i="6"/>
  <c r="K211" i="6"/>
  <c r="J211" i="6"/>
  <c r="K95" i="6"/>
  <c r="J95" i="6"/>
  <c r="J237" i="6"/>
  <c r="K237" i="6"/>
  <c r="K229" i="6"/>
  <c r="J229" i="6"/>
  <c r="K235" i="6"/>
  <c r="J235" i="6"/>
  <c r="K223" i="6"/>
  <c r="J223" i="6"/>
  <c r="J60" i="6"/>
  <c r="K60" i="6"/>
  <c r="J239" i="6"/>
  <c r="K239" i="6"/>
  <c r="J227" i="6"/>
  <c r="K227" i="6"/>
  <c r="E133" i="7"/>
  <c r="L264" i="6"/>
  <c r="L269" i="6"/>
  <c r="L263" i="6"/>
  <c r="L168" i="6"/>
  <c r="F44" i="6"/>
  <c r="K44" i="6"/>
  <c r="J44" i="6"/>
  <c r="L170" i="6"/>
  <c r="J146" i="6"/>
  <c r="K146" i="6"/>
  <c r="L146" i="6" s="1"/>
  <c r="K196" i="6"/>
  <c r="J196" i="6"/>
  <c r="J182" i="6"/>
  <c r="K182" i="6"/>
  <c r="J198" i="6"/>
  <c r="K198" i="6"/>
  <c r="J126" i="6"/>
  <c r="K126" i="6"/>
  <c r="J192" i="6"/>
  <c r="K192" i="6"/>
  <c r="L69" i="6"/>
  <c r="K140" i="6"/>
  <c r="L140" i="6" s="1"/>
  <c r="J140" i="6"/>
  <c r="J178" i="6"/>
  <c r="K178" i="6"/>
  <c r="K190" i="6"/>
  <c r="J190" i="6"/>
  <c r="J143" i="6"/>
  <c r="K143" i="6"/>
  <c r="L143" i="6" s="1"/>
  <c r="J127" i="6"/>
  <c r="K127" i="6"/>
  <c r="J142" i="6"/>
  <c r="K142" i="6"/>
  <c r="L142" i="6" s="1"/>
  <c r="L265" i="6"/>
  <c r="L75" i="6"/>
  <c r="J138" i="6"/>
  <c r="K138" i="6"/>
  <c r="L138" i="6" s="1"/>
  <c r="K134" i="6"/>
  <c r="L134" i="6" s="1"/>
  <c r="J134" i="6"/>
  <c r="K176" i="6"/>
  <c r="J176" i="6"/>
  <c r="J188" i="6"/>
  <c r="K188" i="6"/>
  <c r="J200" i="6"/>
  <c r="K200" i="6"/>
  <c r="J125" i="6"/>
  <c r="K125" i="6"/>
  <c r="J194" i="6"/>
  <c r="K194" i="6"/>
  <c r="K133" i="6"/>
  <c r="J133" i="6"/>
  <c r="K202" i="6"/>
  <c r="J202" i="6"/>
  <c r="J139" i="6"/>
  <c r="K139" i="6"/>
  <c r="L139" i="6" s="1"/>
  <c r="J145" i="6"/>
  <c r="K145" i="6"/>
  <c r="L145" i="6" s="1"/>
  <c r="K137" i="6"/>
  <c r="L137" i="6" s="1"/>
  <c r="J137" i="6"/>
  <c r="J186" i="6"/>
  <c r="K186" i="6"/>
  <c r="J136" i="6"/>
  <c r="K136" i="6"/>
  <c r="L136" i="6" s="1"/>
  <c r="J157" i="6"/>
  <c r="K157" i="6"/>
  <c r="L157" i="6" s="1"/>
  <c r="K156" i="6"/>
  <c r="L156" i="6" s="1"/>
  <c r="J156" i="6"/>
  <c r="K155" i="6"/>
  <c r="J155" i="6"/>
  <c r="J135" i="6"/>
  <c r="K135" i="6"/>
  <c r="L135" i="6" s="1"/>
  <c r="J184" i="6"/>
  <c r="K184" i="6"/>
  <c r="L296" i="6"/>
  <c r="K180" i="6"/>
  <c r="J180" i="6"/>
  <c r="J141" i="6"/>
  <c r="K141" i="6"/>
  <c r="L141" i="6" s="1"/>
  <c r="L268" i="6"/>
  <c r="L271" i="6"/>
  <c r="L266" i="6"/>
  <c r="L272" i="6"/>
  <c r="J169" i="6"/>
  <c r="K169" i="6"/>
  <c r="K167" i="6"/>
  <c r="J167" i="6"/>
  <c r="J102" i="7"/>
  <c r="J101" i="7" s="1"/>
  <c r="J16" i="7"/>
  <c r="J20" i="7" s="1"/>
  <c r="J15" i="7"/>
  <c r="J19" i="7" s="1"/>
  <c r="J84" i="7"/>
  <c r="J49" i="7"/>
  <c r="F160" i="6"/>
  <c r="J217" i="7"/>
  <c r="C18" i="9" s="1"/>
  <c r="I203" i="7" l="1"/>
  <c r="F203" i="7"/>
  <c r="G203" i="7"/>
  <c r="H203" i="7"/>
  <c r="E203" i="7"/>
  <c r="H205" i="7"/>
  <c r="H204" i="7" s="1"/>
  <c r="F205" i="7"/>
  <c r="F204" i="7" s="1"/>
  <c r="E205" i="7"/>
  <c r="E204" i="7" s="1"/>
  <c r="I201" i="7"/>
  <c r="H201" i="7"/>
  <c r="G201" i="7"/>
  <c r="F201" i="7"/>
  <c r="E201" i="7"/>
  <c r="I200" i="7"/>
  <c r="G200" i="7"/>
  <c r="F200" i="7"/>
  <c r="H200" i="7"/>
  <c r="E200" i="7"/>
  <c r="J133" i="7"/>
  <c r="B17" i="9" s="1"/>
  <c r="J134" i="7"/>
  <c r="E68" i="7"/>
  <c r="I161" i="7"/>
  <c r="H161" i="7"/>
  <c r="E161" i="7"/>
  <c r="G161" i="7"/>
  <c r="F161" i="7"/>
  <c r="G167" i="7"/>
  <c r="F167" i="7"/>
  <c r="I167" i="7"/>
  <c r="H167" i="7"/>
  <c r="E167" i="7"/>
  <c r="G165" i="7"/>
  <c r="H165" i="7"/>
  <c r="I165" i="7"/>
  <c r="E165" i="7"/>
  <c r="F165" i="7"/>
  <c r="F160" i="7"/>
  <c r="E169" i="7"/>
  <c r="H169" i="7"/>
  <c r="I169" i="7"/>
  <c r="G169" i="7"/>
  <c r="F169" i="7"/>
  <c r="G205" i="7"/>
  <c r="G204" i="7" s="1"/>
  <c r="I205" i="7"/>
  <c r="I204" i="7" s="1"/>
  <c r="H214" i="7"/>
  <c r="G214" i="7"/>
  <c r="F214" i="7"/>
  <c r="E214" i="7"/>
  <c r="I214" i="7"/>
  <c r="I213" i="7"/>
  <c r="H213" i="7"/>
  <c r="G213" i="7"/>
  <c r="F213" i="7"/>
  <c r="E213" i="7"/>
  <c r="G212" i="7"/>
  <c r="I212" i="7"/>
  <c r="F212" i="7"/>
  <c r="H212" i="7"/>
  <c r="E212" i="7"/>
  <c r="F68" i="7"/>
  <c r="L301" i="6"/>
  <c r="H137" i="7" s="1"/>
  <c r="G68" i="7"/>
  <c r="I68" i="7"/>
  <c r="H68" i="7"/>
  <c r="I37" i="7"/>
  <c r="I36" i="7" s="1"/>
  <c r="G37" i="7"/>
  <c r="G36" i="7" s="1"/>
  <c r="F37" i="7"/>
  <c r="F36" i="7" s="1"/>
  <c r="H37" i="7"/>
  <c r="H36" i="7" s="1"/>
  <c r="E37" i="7"/>
  <c r="E36" i="7" s="1"/>
  <c r="E137" i="7"/>
  <c r="J189" i="7"/>
  <c r="E94" i="7"/>
  <c r="F94" i="7"/>
  <c r="G94" i="7"/>
  <c r="H94" i="7"/>
  <c r="I94" i="7"/>
  <c r="J161" i="6"/>
  <c r="K161" i="6"/>
  <c r="L43" i="5"/>
  <c r="L27" i="5"/>
  <c r="G181" i="7" s="1"/>
  <c r="L107" i="5"/>
  <c r="L202" i="6"/>
  <c r="L229" i="6"/>
  <c r="L237" i="6"/>
  <c r="H127" i="7" s="1"/>
  <c r="L128" i="5"/>
  <c r="L213" i="6"/>
  <c r="L45" i="5"/>
  <c r="L30" i="5"/>
  <c r="I175" i="7" s="1"/>
  <c r="L35" i="5"/>
  <c r="I190" i="7" s="1"/>
  <c r="I188" i="7" s="1"/>
  <c r="L25" i="5"/>
  <c r="G180" i="7" s="1"/>
  <c r="L33" i="5"/>
  <c r="E177" i="7" s="1"/>
  <c r="L105" i="5"/>
  <c r="L99" i="5"/>
  <c r="H160" i="7" s="1"/>
  <c r="H209" i="7"/>
  <c r="I209" i="7"/>
  <c r="I173" i="7"/>
  <c r="H173" i="7"/>
  <c r="I174" i="7"/>
  <c r="H174" i="7"/>
  <c r="I183" i="7"/>
  <c r="H183" i="7"/>
  <c r="H208" i="7"/>
  <c r="I208" i="7"/>
  <c r="H172" i="7"/>
  <c r="I172" i="7"/>
  <c r="H210" i="7"/>
  <c r="I210" i="7"/>
  <c r="I83" i="7"/>
  <c r="H83" i="7"/>
  <c r="L115" i="5"/>
  <c r="L65" i="5"/>
  <c r="L34" i="5"/>
  <c r="L93" i="5"/>
  <c r="G209" i="7"/>
  <c r="F209" i="7"/>
  <c r="E209" i="7"/>
  <c r="E208" i="7"/>
  <c r="G208" i="7"/>
  <c r="F208" i="7"/>
  <c r="G83" i="7"/>
  <c r="E83" i="7"/>
  <c r="F83" i="7"/>
  <c r="L103" i="5"/>
  <c r="L111" i="5"/>
  <c r="L91" i="5"/>
  <c r="L29" i="5"/>
  <c r="G173" i="7"/>
  <c r="F173" i="7"/>
  <c r="E173" i="7"/>
  <c r="E183" i="7"/>
  <c r="G183" i="7"/>
  <c r="F183" i="7"/>
  <c r="F172" i="7"/>
  <c r="G172" i="7"/>
  <c r="E172" i="7"/>
  <c r="G210" i="7"/>
  <c r="F210" i="7"/>
  <c r="E210" i="7"/>
  <c r="K19" i="5"/>
  <c r="E174" i="7"/>
  <c r="F174" i="7"/>
  <c r="G174" i="7"/>
  <c r="J119" i="5"/>
  <c r="J49" i="5"/>
  <c r="J48" i="5"/>
  <c r="K219" i="6"/>
  <c r="L16" i="5"/>
  <c r="H176" i="7" s="1"/>
  <c r="J19" i="5"/>
  <c r="L44" i="5"/>
  <c r="K49" i="5"/>
  <c r="K48" i="5"/>
  <c r="K39" i="5"/>
  <c r="L89" i="5"/>
  <c r="K119" i="5"/>
  <c r="L23" i="5"/>
  <c r="J39" i="5"/>
  <c r="L82" i="5"/>
  <c r="J151" i="6"/>
  <c r="K151" i="6"/>
  <c r="L80" i="5"/>
  <c r="J84" i="5"/>
  <c r="K84" i="5"/>
  <c r="L34" i="6"/>
  <c r="F110" i="7" s="1"/>
  <c r="L215" i="6"/>
  <c r="L217" i="6"/>
  <c r="L60" i="6"/>
  <c r="E109" i="7" s="1"/>
  <c r="L51" i="6"/>
  <c r="F112" i="7" s="1"/>
  <c r="L246" i="6"/>
  <c r="L178" i="6"/>
  <c r="L248" i="6"/>
  <c r="L44" i="6"/>
  <c r="L227" i="6"/>
  <c r="L95" i="6"/>
  <c r="F113" i="7" s="1"/>
  <c r="L180" i="6"/>
  <c r="L239" i="6"/>
  <c r="H128" i="7" s="1"/>
  <c r="L225" i="6"/>
  <c r="K231" i="6"/>
  <c r="L235" i="6"/>
  <c r="J241" i="6"/>
  <c r="J242" i="6" s="1"/>
  <c r="G76" i="7"/>
  <c r="H76" i="7"/>
  <c r="I76" i="7"/>
  <c r="E76" i="7"/>
  <c r="F76" i="7"/>
  <c r="K241" i="6"/>
  <c r="K242" i="6" s="1"/>
  <c r="L211" i="6"/>
  <c r="J219" i="6"/>
  <c r="G111" i="7"/>
  <c r="F111" i="7"/>
  <c r="H111" i="7"/>
  <c r="I111" i="7"/>
  <c r="E111" i="7"/>
  <c r="I95" i="7"/>
  <c r="E95" i="7"/>
  <c r="F95" i="7"/>
  <c r="G95" i="7"/>
  <c r="H95" i="7"/>
  <c r="J250" i="6"/>
  <c r="L244" i="6"/>
  <c r="L223" i="6"/>
  <c r="J231" i="6"/>
  <c r="K250" i="6"/>
  <c r="F82" i="7"/>
  <c r="G82" i="7"/>
  <c r="H82" i="7"/>
  <c r="I82" i="7"/>
  <c r="E82" i="7"/>
  <c r="E71" i="7"/>
  <c r="F71" i="7"/>
  <c r="H71" i="7"/>
  <c r="I71" i="7"/>
  <c r="G71" i="7"/>
  <c r="F74" i="7"/>
  <c r="G74" i="7"/>
  <c r="H74" i="7"/>
  <c r="I74" i="7"/>
  <c r="E74" i="7"/>
  <c r="E72" i="7"/>
  <c r="G72" i="7"/>
  <c r="I72" i="7"/>
  <c r="F72" i="7"/>
  <c r="H72" i="7"/>
  <c r="H73" i="7"/>
  <c r="F73" i="7"/>
  <c r="I73" i="7"/>
  <c r="E73" i="7"/>
  <c r="G73" i="7"/>
  <c r="G79" i="7"/>
  <c r="H79" i="7"/>
  <c r="I79" i="7"/>
  <c r="E79" i="7"/>
  <c r="F79" i="7"/>
  <c r="I81" i="7"/>
  <c r="E81" i="7"/>
  <c r="H81" i="7"/>
  <c r="G81" i="7"/>
  <c r="F81" i="7"/>
  <c r="F80" i="7"/>
  <c r="E80" i="7"/>
  <c r="G80" i="7"/>
  <c r="H80" i="7"/>
  <c r="I80" i="7"/>
  <c r="J47" i="7"/>
  <c r="L196" i="6"/>
  <c r="L200" i="6"/>
  <c r="L190" i="6"/>
  <c r="L126" i="6"/>
  <c r="L198" i="6"/>
  <c r="L186" i="6"/>
  <c r="L127" i="6"/>
  <c r="L182" i="6"/>
  <c r="L192" i="6"/>
  <c r="L184" i="6"/>
  <c r="L188" i="6"/>
  <c r="L194" i="6"/>
  <c r="L288" i="6"/>
  <c r="L167" i="6"/>
  <c r="K206" i="6"/>
  <c r="J160" i="6"/>
  <c r="K129" i="6"/>
  <c r="J171" i="6"/>
  <c r="F171" i="6" s="1"/>
  <c r="L133" i="6"/>
  <c r="L151" i="6" s="1"/>
  <c r="J129" i="6"/>
  <c r="L125" i="6"/>
  <c r="K160" i="6"/>
  <c r="L155" i="6"/>
  <c r="L161" i="6" s="1"/>
  <c r="L169" i="6"/>
  <c r="J206" i="6"/>
  <c r="L176" i="6"/>
  <c r="K171" i="6"/>
  <c r="I202" i="7" l="1"/>
  <c r="F202" i="7"/>
  <c r="F199" i="7" s="1"/>
  <c r="G202" i="7"/>
  <c r="H202" i="7"/>
  <c r="E202" i="7"/>
  <c r="E199" i="7" s="1"/>
  <c r="H199" i="7"/>
  <c r="F129" i="6"/>
  <c r="F119" i="5"/>
  <c r="F206" i="6"/>
  <c r="E168" i="7"/>
  <c r="H168" i="7"/>
  <c r="F168" i="7"/>
  <c r="G168" i="7"/>
  <c r="I168" i="7"/>
  <c r="E163" i="7"/>
  <c r="H163" i="7"/>
  <c r="I163" i="7"/>
  <c r="G163" i="7"/>
  <c r="F163" i="7"/>
  <c r="G160" i="7"/>
  <c r="E160" i="7"/>
  <c r="F158" i="7"/>
  <c r="E158" i="7"/>
  <c r="H158" i="7"/>
  <c r="I158" i="7"/>
  <c r="G158" i="7"/>
  <c r="E159" i="7"/>
  <c r="I159" i="7"/>
  <c r="H159" i="7"/>
  <c r="F159" i="7"/>
  <c r="G159" i="7"/>
  <c r="I160" i="7"/>
  <c r="F155" i="7"/>
  <c r="I155" i="7"/>
  <c r="G155" i="7"/>
  <c r="G152" i="7" s="1"/>
  <c r="G147" i="7" s="1"/>
  <c r="E155" i="7"/>
  <c r="H155" i="7"/>
  <c r="H152" i="7" s="1"/>
  <c r="H147" i="7" s="1"/>
  <c r="E164" i="7"/>
  <c r="H164" i="7"/>
  <c r="I164" i="7"/>
  <c r="G164" i="7"/>
  <c r="F164" i="7"/>
  <c r="F166" i="7"/>
  <c r="E166" i="7"/>
  <c r="G166" i="7"/>
  <c r="H166" i="7"/>
  <c r="I166" i="7"/>
  <c r="G162" i="7"/>
  <c r="H162" i="7"/>
  <c r="I162" i="7"/>
  <c r="F162" i="7"/>
  <c r="E162" i="7"/>
  <c r="F157" i="7"/>
  <c r="G157" i="7"/>
  <c r="E157" i="7"/>
  <c r="H157" i="7"/>
  <c r="I157" i="7"/>
  <c r="F137" i="7"/>
  <c r="I137" i="7"/>
  <c r="G137" i="7"/>
  <c r="E211" i="7"/>
  <c r="H211" i="7"/>
  <c r="F211" i="7"/>
  <c r="G65" i="7"/>
  <c r="H65" i="7"/>
  <c r="I65" i="7"/>
  <c r="E65" i="7"/>
  <c r="F65" i="7"/>
  <c r="F146" i="7"/>
  <c r="E146" i="7"/>
  <c r="G146" i="7"/>
  <c r="H146" i="7"/>
  <c r="I146" i="7"/>
  <c r="G63" i="7"/>
  <c r="H63" i="7"/>
  <c r="E63" i="7"/>
  <c r="F63" i="7"/>
  <c r="I63" i="7"/>
  <c r="E122" i="7"/>
  <c r="G122" i="7"/>
  <c r="F122" i="7"/>
  <c r="H122" i="7"/>
  <c r="I122" i="7"/>
  <c r="I117" i="7"/>
  <c r="G117" i="7"/>
  <c r="F117" i="7"/>
  <c r="H117" i="7"/>
  <c r="E117" i="7"/>
  <c r="G123" i="7"/>
  <c r="I123" i="7"/>
  <c r="H123" i="7"/>
  <c r="E123" i="7"/>
  <c r="F123" i="7"/>
  <c r="I56" i="7"/>
  <c r="E56" i="7"/>
  <c r="H56" i="7"/>
  <c r="F56" i="7"/>
  <c r="G56" i="7"/>
  <c r="E58" i="7"/>
  <c r="H58" i="7"/>
  <c r="G58" i="7"/>
  <c r="I58" i="7"/>
  <c r="F58" i="7"/>
  <c r="L292" i="6"/>
  <c r="F136" i="7" s="1"/>
  <c r="F118" i="7"/>
  <c r="H118" i="7"/>
  <c r="G118" i="7"/>
  <c r="E118" i="7"/>
  <c r="I118" i="7"/>
  <c r="H60" i="7"/>
  <c r="I60" i="7"/>
  <c r="G60" i="7"/>
  <c r="F60" i="7"/>
  <c r="E60" i="7"/>
  <c r="E61" i="7"/>
  <c r="I61" i="7"/>
  <c r="H61" i="7"/>
  <c r="F61" i="7"/>
  <c r="G61" i="7"/>
  <c r="G48" i="7"/>
  <c r="G45" i="7" s="1"/>
  <c r="G31" i="7" s="1"/>
  <c r="H48" i="7"/>
  <c r="H45" i="7" s="1"/>
  <c r="H31" i="7" s="1"/>
  <c r="I48" i="7"/>
  <c r="I45" i="7" s="1"/>
  <c r="I31" i="7" s="1"/>
  <c r="F48" i="7"/>
  <c r="F45" i="7" s="1"/>
  <c r="F31" i="7" s="1"/>
  <c r="E48" i="7"/>
  <c r="E45" i="7" s="1"/>
  <c r="I67" i="7"/>
  <c r="E67" i="7"/>
  <c r="G67" i="7"/>
  <c r="H67" i="7"/>
  <c r="F67" i="7"/>
  <c r="E136" i="7"/>
  <c r="E135" i="7" s="1"/>
  <c r="E59" i="7"/>
  <c r="I59" i="7"/>
  <c r="G59" i="7"/>
  <c r="F59" i="7"/>
  <c r="H59" i="7"/>
  <c r="E132" i="7"/>
  <c r="F132" i="7"/>
  <c r="G132" i="7"/>
  <c r="I132" i="7"/>
  <c r="H132" i="7"/>
  <c r="H62" i="7"/>
  <c r="I62" i="7"/>
  <c r="G62" i="7"/>
  <c r="F62" i="7"/>
  <c r="E62" i="7"/>
  <c r="E57" i="7"/>
  <c r="I57" i="7"/>
  <c r="F57" i="7"/>
  <c r="H57" i="7"/>
  <c r="G57" i="7"/>
  <c r="E64" i="7"/>
  <c r="F64" i="7"/>
  <c r="I64" i="7"/>
  <c r="G64" i="7"/>
  <c r="H64" i="7"/>
  <c r="H120" i="7"/>
  <c r="G120" i="7"/>
  <c r="F120" i="7"/>
  <c r="E120" i="7"/>
  <c r="I120" i="7"/>
  <c r="I121" i="7"/>
  <c r="H121" i="7"/>
  <c r="F121" i="7"/>
  <c r="G121" i="7"/>
  <c r="E121" i="7"/>
  <c r="H131" i="7"/>
  <c r="I131" i="7"/>
  <c r="F131" i="7"/>
  <c r="G131" i="7"/>
  <c r="E131" i="7"/>
  <c r="I145" i="7"/>
  <c r="G145" i="7"/>
  <c r="F145" i="7"/>
  <c r="E145" i="7"/>
  <c r="H145" i="7"/>
  <c r="H66" i="7"/>
  <c r="I66" i="7"/>
  <c r="F66" i="7"/>
  <c r="G66" i="7"/>
  <c r="E66" i="7"/>
  <c r="G130" i="7"/>
  <c r="H130" i="7"/>
  <c r="I130" i="7"/>
  <c r="E130" i="7"/>
  <c r="F130" i="7"/>
  <c r="H116" i="7"/>
  <c r="F116" i="7"/>
  <c r="G116" i="7"/>
  <c r="E116" i="7"/>
  <c r="I116" i="7"/>
  <c r="I115" i="7"/>
  <c r="H115" i="7"/>
  <c r="G115" i="7"/>
  <c r="F115" i="7"/>
  <c r="E115" i="7"/>
  <c r="G30" i="7"/>
  <c r="H30" i="7"/>
  <c r="I30" i="7"/>
  <c r="F30" i="7"/>
  <c r="E30" i="7"/>
  <c r="H29" i="7"/>
  <c r="F29" i="7"/>
  <c r="E29" i="7"/>
  <c r="G29" i="7"/>
  <c r="I29" i="7"/>
  <c r="H93" i="7"/>
  <c r="F151" i="6"/>
  <c r="I93" i="7"/>
  <c r="F84" i="5"/>
  <c r="J68" i="7"/>
  <c r="G93" i="7"/>
  <c r="F161" i="6"/>
  <c r="J94" i="7"/>
  <c r="F93" i="7"/>
  <c r="J169" i="7"/>
  <c r="F49" i="5"/>
  <c r="E181" i="7"/>
  <c r="F39" i="5"/>
  <c r="F19" i="5"/>
  <c r="I127" i="7"/>
  <c r="G127" i="7"/>
  <c r="H181" i="7"/>
  <c r="I181" i="7"/>
  <c r="F181" i="7"/>
  <c r="F127" i="7"/>
  <c r="E175" i="7"/>
  <c r="F175" i="7"/>
  <c r="G175" i="7"/>
  <c r="H175" i="7"/>
  <c r="I187" i="7"/>
  <c r="E127" i="7"/>
  <c r="E190" i="7"/>
  <c r="E188" i="7" s="1"/>
  <c r="I177" i="7"/>
  <c r="E180" i="7"/>
  <c r="H180" i="7"/>
  <c r="F180" i="7"/>
  <c r="I180" i="7"/>
  <c r="G190" i="7"/>
  <c r="G188" i="7" s="1"/>
  <c r="H190" i="7"/>
  <c r="H188" i="7" s="1"/>
  <c r="G177" i="7"/>
  <c r="F190" i="7"/>
  <c r="F188" i="7" s="1"/>
  <c r="F177" i="7"/>
  <c r="H177" i="7"/>
  <c r="H112" i="7"/>
  <c r="I112" i="7"/>
  <c r="I128" i="7"/>
  <c r="I110" i="7"/>
  <c r="H110" i="7"/>
  <c r="J204" i="7"/>
  <c r="C14" i="9" s="1"/>
  <c r="G211" i="7"/>
  <c r="I211" i="7"/>
  <c r="J214" i="7"/>
  <c r="J205" i="7"/>
  <c r="J167" i="7"/>
  <c r="J165" i="7"/>
  <c r="J161" i="7"/>
  <c r="J200" i="7"/>
  <c r="I207" i="7"/>
  <c r="I206" i="7" s="1"/>
  <c r="J203" i="7"/>
  <c r="F184" i="7"/>
  <c r="I184" i="7"/>
  <c r="H184" i="7"/>
  <c r="I199" i="7"/>
  <c r="J212" i="7"/>
  <c r="I176" i="7"/>
  <c r="I152" i="7"/>
  <c r="I147" i="7" s="1"/>
  <c r="F152" i="7"/>
  <c r="F147" i="7" s="1"/>
  <c r="H207" i="7"/>
  <c r="H206" i="7" s="1"/>
  <c r="G182" i="7"/>
  <c r="H182" i="7"/>
  <c r="I182" i="7"/>
  <c r="J201" i="7"/>
  <c r="I109" i="7"/>
  <c r="I113" i="7"/>
  <c r="J213" i="7"/>
  <c r="H187" i="7"/>
  <c r="H109" i="7"/>
  <c r="H113" i="7"/>
  <c r="I179" i="7"/>
  <c r="H179" i="7"/>
  <c r="F207" i="7"/>
  <c r="F206" i="7" s="1"/>
  <c r="G184" i="7"/>
  <c r="E184" i="7"/>
  <c r="E182" i="7"/>
  <c r="G207" i="7"/>
  <c r="G206" i="7" s="1"/>
  <c r="J83" i="7"/>
  <c r="E207" i="7"/>
  <c r="J209" i="7"/>
  <c r="F182" i="7"/>
  <c r="J208" i="7"/>
  <c r="J174" i="7"/>
  <c r="J183" i="7"/>
  <c r="J173" i="7"/>
  <c r="J172" i="7"/>
  <c r="L119" i="5"/>
  <c r="E176" i="7"/>
  <c r="G176" i="7"/>
  <c r="L19" i="5"/>
  <c r="F176" i="7"/>
  <c r="G179" i="7"/>
  <c r="F179" i="7"/>
  <c r="E179" i="7"/>
  <c r="L39" i="5"/>
  <c r="E187" i="7"/>
  <c r="L48" i="5"/>
  <c r="F187" i="7"/>
  <c r="G187" i="7"/>
  <c r="L49" i="5"/>
  <c r="E128" i="7"/>
  <c r="L84" i="5"/>
  <c r="E110" i="7"/>
  <c r="E112" i="7"/>
  <c r="G110" i="7"/>
  <c r="G109" i="7"/>
  <c r="F109" i="7"/>
  <c r="F96" i="7" s="1"/>
  <c r="E113" i="7"/>
  <c r="G112" i="7"/>
  <c r="G128" i="7"/>
  <c r="F128" i="7"/>
  <c r="G113" i="7"/>
  <c r="L231" i="6"/>
  <c r="L250" i="6"/>
  <c r="F78" i="7"/>
  <c r="F77" i="7" s="1"/>
  <c r="G78" i="7"/>
  <c r="G77" i="7" s="1"/>
  <c r="H78" i="7"/>
  <c r="H77" i="7" s="1"/>
  <c r="I78" i="7"/>
  <c r="I77" i="7" s="1"/>
  <c r="E78" i="7"/>
  <c r="L160" i="6"/>
  <c r="F92" i="7"/>
  <c r="H92" i="7"/>
  <c r="G92" i="7"/>
  <c r="I92" i="7"/>
  <c r="E92" i="7"/>
  <c r="J95" i="7"/>
  <c r="E93" i="7"/>
  <c r="L219" i="6"/>
  <c r="F126" i="7"/>
  <c r="G126" i="7"/>
  <c r="H126" i="7"/>
  <c r="H125" i="7" s="1"/>
  <c r="H124" i="7" s="1"/>
  <c r="I126" i="7"/>
  <c r="E126" i="7"/>
  <c r="L241" i="6"/>
  <c r="L242" i="6" s="1"/>
  <c r="J81" i="7"/>
  <c r="J73" i="7"/>
  <c r="J72" i="7"/>
  <c r="J79" i="7"/>
  <c r="J74" i="7"/>
  <c r="J82" i="7"/>
  <c r="J71" i="7"/>
  <c r="J80" i="7"/>
  <c r="F75" i="7"/>
  <c r="G75" i="7"/>
  <c r="H75" i="7"/>
  <c r="I75" i="7"/>
  <c r="E75" i="7"/>
  <c r="J37" i="7"/>
  <c r="L129" i="6"/>
  <c r="L206" i="6"/>
  <c r="J111" i="7"/>
  <c r="L171" i="6"/>
  <c r="J202" i="7" l="1"/>
  <c r="G199" i="7"/>
  <c r="J137" i="7"/>
  <c r="F135" i="7"/>
  <c r="G114" i="7"/>
  <c r="J121" i="7"/>
  <c r="H119" i="7"/>
  <c r="J118" i="7"/>
  <c r="J122" i="7"/>
  <c r="G119" i="7"/>
  <c r="J132" i="7"/>
  <c r="J117" i="7"/>
  <c r="J116" i="7"/>
  <c r="J123" i="7"/>
  <c r="J131" i="7"/>
  <c r="G129" i="7"/>
  <c r="F129" i="7"/>
  <c r="E114" i="7"/>
  <c r="E119" i="7"/>
  <c r="H129" i="7"/>
  <c r="F119" i="7"/>
  <c r="F114" i="7"/>
  <c r="H114" i="7"/>
  <c r="E129" i="7"/>
  <c r="J93" i="7"/>
  <c r="I28" i="7"/>
  <c r="I125" i="7"/>
  <c r="I124" i="7" s="1"/>
  <c r="G125" i="7"/>
  <c r="G124" i="7" s="1"/>
  <c r="F125" i="7"/>
  <c r="F124" i="7" s="1"/>
  <c r="J127" i="7"/>
  <c r="J164" i="7"/>
  <c r="J181" i="7"/>
  <c r="J175" i="7"/>
  <c r="H171" i="7"/>
  <c r="I171" i="7"/>
  <c r="J67" i="7"/>
  <c r="J180" i="7"/>
  <c r="G171" i="7"/>
  <c r="J190" i="7"/>
  <c r="J177" i="7"/>
  <c r="J188" i="7"/>
  <c r="F171" i="7"/>
  <c r="J163" i="7"/>
  <c r="J160" i="7"/>
  <c r="H96" i="7"/>
  <c r="J211" i="7"/>
  <c r="C16" i="9" s="1"/>
  <c r="I178" i="7"/>
  <c r="J155" i="7"/>
  <c r="J158" i="7"/>
  <c r="J199" i="7"/>
  <c r="C13" i="9" s="1"/>
  <c r="H144" i="7"/>
  <c r="G156" i="7"/>
  <c r="J159" i="7"/>
  <c r="E152" i="7"/>
  <c r="E147" i="7" s="1"/>
  <c r="J147" i="7" s="1"/>
  <c r="C9" i="9" s="1"/>
  <c r="H178" i="7"/>
  <c r="I96" i="7"/>
  <c r="J168" i="7"/>
  <c r="F156" i="7"/>
  <c r="J162" i="7"/>
  <c r="H156" i="7"/>
  <c r="I144" i="7"/>
  <c r="J166" i="7"/>
  <c r="I156" i="7"/>
  <c r="I136" i="7"/>
  <c r="I135" i="7" s="1"/>
  <c r="H136" i="7"/>
  <c r="H135" i="7" s="1"/>
  <c r="J182" i="7"/>
  <c r="G178" i="7"/>
  <c r="J184" i="7"/>
  <c r="J207" i="7"/>
  <c r="F178" i="7"/>
  <c r="J187" i="7"/>
  <c r="E171" i="7"/>
  <c r="J176" i="7"/>
  <c r="J179" i="7"/>
  <c r="E178" i="7"/>
  <c r="E156" i="7"/>
  <c r="J157" i="7"/>
  <c r="G136" i="7"/>
  <c r="G135" i="7" s="1"/>
  <c r="F144" i="7"/>
  <c r="J146" i="7"/>
  <c r="G144" i="7"/>
  <c r="J210" i="7"/>
  <c r="E206" i="7"/>
  <c r="E96" i="7"/>
  <c r="J45" i="7"/>
  <c r="J112" i="7"/>
  <c r="J48" i="7"/>
  <c r="J57" i="7"/>
  <c r="J110" i="7"/>
  <c r="J145" i="7"/>
  <c r="E144" i="7"/>
  <c r="J128" i="7"/>
  <c r="J109" i="7"/>
  <c r="G96" i="7"/>
  <c r="J113" i="7"/>
  <c r="F55" i="7"/>
  <c r="J58" i="7"/>
  <c r="J92" i="7"/>
  <c r="J66" i="7"/>
  <c r="I119" i="7"/>
  <c r="J120" i="7"/>
  <c r="J126" i="7"/>
  <c r="E125" i="7"/>
  <c r="I55" i="7"/>
  <c r="E31" i="7"/>
  <c r="H55" i="7"/>
  <c r="J60" i="7"/>
  <c r="I129" i="7"/>
  <c r="J130" i="7"/>
  <c r="G55" i="7"/>
  <c r="E55" i="7"/>
  <c r="I114" i="7"/>
  <c r="J115" i="7"/>
  <c r="J78" i="7"/>
  <c r="J77" i="7" s="1"/>
  <c r="E77" i="7"/>
  <c r="H70" i="7"/>
  <c r="H69" i="7" s="1"/>
  <c r="J76" i="7"/>
  <c r="G70" i="7"/>
  <c r="G69" i="7" s="1"/>
  <c r="F70" i="7"/>
  <c r="F69" i="7" s="1"/>
  <c r="I70" i="7"/>
  <c r="I69" i="7" s="1"/>
  <c r="J75" i="7"/>
  <c r="E70" i="7"/>
  <c r="J62" i="7"/>
  <c r="J65" i="7"/>
  <c r="J63" i="7"/>
  <c r="J64" i="7"/>
  <c r="J61" i="7"/>
  <c r="J56" i="7"/>
  <c r="J36" i="7"/>
  <c r="H28" i="7"/>
  <c r="F28" i="7"/>
  <c r="J29" i="7"/>
  <c r="E28" i="7"/>
  <c r="G28" i="7"/>
  <c r="J30" i="7"/>
  <c r="J119" i="7" l="1"/>
  <c r="B14" i="9" s="1"/>
  <c r="J129" i="7"/>
  <c r="B16" i="9" s="1"/>
  <c r="J114" i="7"/>
  <c r="B13" i="9" s="1"/>
  <c r="I170" i="7"/>
  <c r="I220" i="7" s="1"/>
  <c r="H170" i="7"/>
  <c r="H220" i="7" s="1"/>
  <c r="H221" i="7" s="1"/>
  <c r="G170" i="7"/>
  <c r="G220" i="7" s="1"/>
  <c r="G221" i="7" s="1"/>
  <c r="F170" i="7"/>
  <c r="F220" i="7" s="1"/>
  <c r="F221" i="7" s="1"/>
  <c r="J152" i="7"/>
  <c r="J156" i="7"/>
  <c r="C10" i="9" s="1"/>
  <c r="J135" i="7"/>
  <c r="B18" i="9" s="1"/>
  <c r="E170" i="7"/>
  <c r="E220" i="7" s="1"/>
  <c r="J178" i="7"/>
  <c r="G138" i="7"/>
  <c r="G140" i="7" s="1"/>
  <c r="H138" i="7"/>
  <c r="H139" i="7" s="1"/>
  <c r="I138" i="7"/>
  <c r="J171" i="7"/>
  <c r="F138" i="7"/>
  <c r="F140" i="7" s="1"/>
  <c r="J136" i="7"/>
  <c r="E69" i="7"/>
  <c r="J206" i="7"/>
  <c r="C15" i="9" s="1"/>
  <c r="J31" i="7"/>
  <c r="B9" i="9" s="1"/>
  <c r="J144" i="7"/>
  <c r="C8" i="9" s="1"/>
  <c r="J96" i="7"/>
  <c r="B12" i="9" s="1"/>
  <c r="E124" i="7"/>
  <c r="J124" i="7" s="1"/>
  <c r="B15" i="9" s="1"/>
  <c r="J125" i="7"/>
  <c r="J70" i="7"/>
  <c r="J59" i="7"/>
  <c r="J55" i="7" s="1"/>
  <c r="B10" i="9" s="1"/>
  <c r="J28" i="7"/>
  <c r="B8" i="9" s="1"/>
  <c r="H222" i="7" l="1"/>
  <c r="I222" i="7"/>
  <c r="I221" i="7"/>
  <c r="J170" i="7"/>
  <c r="E138" i="7"/>
  <c r="E139" i="7" s="1"/>
  <c r="G222" i="7"/>
  <c r="E222" i="7"/>
  <c r="F222" i="7"/>
  <c r="H140" i="7"/>
  <c r="J69" i="7"/>
  <c r="I140" i="7"/>
  <c r="I139" i="7"/>
  <c r="F139" i="7"/>
  <c r="G139" i="7"/>
  <c r="J220" i="7" l="1"/>
  <c r="J6" i="7" s="1"/>
  <c r="C11" i="9"/>
  <c r="C19" i="9" s="1"/>
  <c r="J138" i="7"/>
  <c r="J140" i="7" s="1"/>
  <c r="B11" i="9"/>
  <c r="B19" i="9" s="1"/>
  <c r="E221" i="7"/>
  <c r="E140" i="7"/>
  <c r="B22" i="9" l="1"/>
  <c r="B24" i="9" s="1"/>
  <c r="J11" i="7"/>
  <c r="J139" i="7"/>
  <c r="J5" i="7"/>
  <c r="J7" i="7" s="1"/>
  <c r="J221" i="7"/>
  <c r="J222" i="7"/>
  <c r="B23" i="9"/>
  <c r="B21" i="9"/>
  <c r="J10" i="7" l="1"/>
  <c r="J12" i="7" s="1"/>
</calcChain>
</file>

<file path=xl/sharedStrings.xml><?xml version="1.0" encoding="utf-8"?>
<sst xmlns="http://schemas.openxmlformats.org/spreadsheetml/2006/main" count="2582" uniqueCount="834">
  <si>
    <t>bude skryto</t>
  </si>
  <si>
    <t>Nahradit slovo Projekt něčím vhodnějším a čím? Ne, ale popsat do uživatelské příručky co se myslí pojmem Projekt v kalkulátoru.</t>
  </si>
  <si>
    <t>ANO</t>
  </si>
  <si>
    <t>Komentář</t>
  </si>
  <si>
    <t>Použité jednotky</t>
  </si>
  <si>
    <t>Jednotka</t>
  </si>
  <si>
    <t>Kč</t>
  </si>
  <si>
    <t>Hodina/rok</t>
  </si>
  <si>
    <t>kWh</t>
  </si>
  <si>
    <t>Hodina</t>
  </si>
  <si>
    <t>Počet MD</t>
  </si>
  <si>
    <t>kus</t>
  </si>
  <si>
    <t>Pomocné tabulky pro přepočet výsledku - BEZ DPH/S DPH</t>
  </si>
  <si>
    <t>Zadaná hodnota</t>
  </si>
  <si>
    <t>YES</t>
  </si>
  <si>
    <t>NO</t>
  </si>
  <si>
    <t>VAT not included</t>
  </si>
  <si>
    <t>VAT included</t>
  </si>
  <si>
    <t>Ostaní cizí</t>
  </si>
  <si>
    <t>year</t>
  </si>
  <si>
    <t>hour</t>
  </si>
  <si>
    <t>hour/year</t>
  </si>
  <si>
    <t>month</t>
  </si>
  <si>
    <t>1 kWh</t>
  </si>
  <si>
    <t>IaaS</t>
  </si>
  <si>
    <t>PaaS</t>
  </si>
  <si>
    <t>SaaS</t>
  </si>
  <si>
    <t>one time charge</t>
  </si>
  <si>
    <t>item</t>
  </si>
  <si>
    <t>Software</t>
  </si>
  <si>
    <t>jiné</t>
  </si>
  <si>
    <t>součet řádek licence</t>
  </si>
  <si>
    <t>součet řádek maintenance</t>
  </si>
  <si>
    <t>Monitoring</t>
  </si>
  <si>
    <t>Licence</t>
  </si>
  <si>
    <t>B.3.1</t>
  </si>
  <si>
    <t xml:space="preserve">E.2.1 </t>
  </si>
  <si>
    <t xml:space="preserve"> B.3.3</t>
  </si>
  <si>
    <t xml:space="preserve">E.2.2 </t>
  </si>
  <si>
    <t>B.4</t>
  </si>
  <si>
    <t>E.2.4</t>
  </si>
  <si>
    <t>B.3.3</t>
  </si>
  <si>
    <t>E.2.3</t>
  </si>
  <si>
    <t>E.7</t>
  </si>
  <si>
    <t>úpravy</t>
  </si>
  <si>
    <t>B.5.1</t>
  </si>
  <si>
    <t>E.3</t>
  </si>
  <si>
    <t>B.5.2</t>
  </si>
  <si>
    <t>B.5.3 - pouze vstup</t>
  </si>
  <si>
    <t>jednorázově</t>
  </si>
  <si>
    <t>B.5.3</t>
  </si>
  <si>
    <t>B.6.1</t>
  </si>
  <si>
    <t>B.6.2</t>
  </si>
  <si>
    <t>E.4</t>
  </si>
  <si>
    <t>E.9</t>
  </si>
  <si>
    <t>Hardware</t>
  </si>
  <si>
    <t>Server</t>
  </si>
  <si>
    <t>B.2.1</t>
  </si>
  <si>
    <t xml:space="preserve">E.1.1 </t>
  </si>
  <si>
    <t>E.6</t>
  </si>
  <si>
    <t>TB</t>
  </si>
  <si>
    <t>SAN</t>
  </si>
  <si>
    <t>provazba do výsledku porovnání na počet jednotek v racku zabraných úložištěm</t>
  </si>
  <si>
    <t>provazba do výsledku porovnání na počet disků</t>
  </si>
  <si>
    <t>%</t>
  </si>
  <si>
    <t>Router</t>
  </si>
  <si>
    <t>B.2.2</t>
  </si>
  <si>
    <t>Load Balancer</t>
  </si>
  <si>
    <t>Switch</t>
  </si>
  <si>
    <t>E.1.2</t>
  </si>
  <si>
    <t>D.3.2</t>
  </si>
  <si>
    <t>Firewall</t>
  </si>
  <si>
    <t>do B.7.1</t>
  </si>
  <si>
    <t>do B.7.2</t>
  </si>
  <si>
    <t xml:space="preserve">E.5 </t>
  </si>
  <si>
    <t>E.10</t>
  </si>
  <si>
    <t>B.2.3</t>
  </si>
  <si>
    <t>B.3.2</t>
  </si>
  <si>
    <t>E.1.3</t>
  </si>
  <si>
    <t>B.1.1</t>
  </si>
  <si>
    <t>B.1.2</t>
  </si>
  <si>
    <t>B.1.3</t>
  </si>
  <si>
    <t>D.3.1</t>
  </si>
  <si>
    <t>vstup</t>
  </si>
  <si>
    <t>D.3.3.2</t>
  </si>
  <si>
    <t>D.3.3.3</t>
  </si>
  <si>
    <t>D.3.3.4</t>
  </si>
  <si>
    <t>D.3.3.1</t>
  </si>
  <si>
    <t>Role (1 - 3)</t>
  </si>
  <si>
    <t>Sazba/hod</t>
  </si>
  <si>
    <t>D.1.5</t>
  </si>
  <si>
    <t>provoz</t>
  </si>
  <si>
    <t>D.2.1</t>
  </si>
  <si>
    <t>D.1.1</t>
  </si>
  <si>
    <t>D.2.2</t>
  </si>
  <si>
    <t>D.1.2</t>
  </si>
  <si>
    <t>D.2.3</t>
  </si>
  <si>
    <t>D.1.3</t>
  </si>
  <si>
    <t>D.2.4</t>
  </si>
  <si>
    <t>D.1.4</t>
  </si>
  <si>
    <t>D.2.5</t>
  </si>
  <si>
    <t>D.1.6</t>
  </si>
  <si>
    <t>D.2.6</t>
  </si>
  <si>
    <t>D.5.2</t>
  </si>
  <si>
    <t>provoz KB</t>
  </si>
  <si>
    <t>E.8</t>
  </si>
  <si>
    <t>do E8</t>
  </si>
  <si>
    <t>D.5.1</t>
  </si>
  <si>
    <t xml:space="preserve">D.4 </t>
  </si>
  <si>
    <t xml:space="preserve">D.5.1 </t>
  </si>
  <si>
    <t xml:space="preserve">D.5.2 </t>
  </si>
  <si>
    <t>souhrn se nikam nemapuje</t>
  </si>
  <si>
    <t>A.1</t>
  </si>
  <si>
    <t>nerozlišujeme bez DPH a s DPH</t>
  </si>
  <si>
    <t>A.2</t>
  </si>
  <si>
    <t>v Kč celkem</t>
  </si>
  <si>
    <t>C.1</t>
  </si>
  <si>
    <t>C.3</t>
  </si>
  <si>
    <t>C.2</t>
  </si>
  <si>
    <t xml:space="preserve">C.4 </t>
  </si>
  <si>
    <t>C.5</t>
  </si>
  <si>
    <t>C.6</t>
  </si>
  <si>
    <t>C.7</t>
  </si>
  <si>
    <t>C.8</t>
  </si>
  <si>
    <t>C.9</t>
  </si>
  <si>
    <t>C.10</t>
  </si>
  <si>
    <t>C.11</t>
  </si>
  <si>
    <t>C.12</t>
  </si>
  <si>
    <t>C.13</t>
  </si>
  <si>
    <t>F.1</t>
  </si>
  <si>
    <t>ukončení</t>
  </si>
  <si>
    <t>F.2</t>
  </si>
  <si>
    <t>F.3</t>
  </si>
  <si>
    <t>F.4</t>
  </si>
  <si>
    <t>G.1</t>
  </si>
  <si>
    <t>G.2</t>
  </si>
  <si>
    <t>G.3</t>
  </si>
  <si>
    <t>G.4</t>
  </si>
  <si>
    <t>H.1.1</t>
  </si>
  <si>
    <t>provoz zvýšené náklady</t>
  </si>
  <si>
    <t>H.1.2</t>
  </si>
  <si>
    <t>H.2</t>
  </si>
  <si>
    <t>I.1</t>
  </si>
  <si>
    <t>I.2</t>
  </si>
  <si>
    <t>I.3</t>
  </si>
  <si>
    <t>X.1</t>
  </si>
  <si>
    <t>Z.1</t>
  </si>
  <si>
    <t>Z.2</t>
  </si>
  <si>
    <t>Celkem provozní režie v Kč/rok</t>
  </si>
  <si>
    <t>role 1</t>
  </si>
  <si>
    <t>role 2</t>
  </si>
  <si>
    <t>role 3</t>
  </si>
  <si>
    <t>Celkem provozní režie v Kč/jednorázově</t>
  </si>
  <si>
    <t>Celkem správní režie v Kč/rok</t>
  </si>
  <si>
    <t>Celkem správní režie v Kč/jednorázově</t>
  </si>
  <si>
    <t xml:space="preserve"> </t>
  </si>
  <si>
    <t>B.5.1.</t>
  </si>
  <si>
    <t>Bude E.3</t>
  </si>
  <si>
    <t>B.5.3 pro vstup</t>
  </si>
  <si>
    <t>E.2.4 - doplněno - kontrola</t>
  </si>
  <si>
    <t>Networking</t>
  </si>
  <si>
    <t>Ročně</t>
  </si>
  <si>
    <t>&lt;</t>
  </si>
  <si>
    <t>&gt;</t>
  </si>
  <si>
    <t>A</t>
  </si>
  <si>
    <t>upraveno</t>
  </si>
  <si>
    <t>Cloud</t>
  </si>
  <si>
    <t>&gt;=</t>
  </si>
  <si>
    <t>B</t>
  </si>
  <si>
    <t>B.1</t>
  </si>
  <si>
    <t>X</t>
  </si>
  <si>
    <t>B.2</t>
  </si>
  <si>
    <t>doplnit vazbu na nárůst diskového úložiště</t>
  </si>
  <si>
    <t>B.3</t>
  </si>
  <si>
    <t>B.5</t>
  </si>
  <si>
    <t>B.6</t>
  </si>
  <si>
    <t>B.7</t>
  </si>
  <si>
    <t>B.7.1</t>
  </si>
  <si>
    <t>B.7.2</t>
  </si>
  <si>
    <t>C.</t>
  </si>
  <si>
    <t>C.4</t>
  </si>
  <si>
    <t>Implementace HW a SW pro KB, implementace bezpečnosti, audit</t>
  </si>
  <si>
    <t>D.</t>
  </si>
  <si>
    <t>D.1</t>
  </si>
  <si>
    <t>D.2</t>
  </si>
  <si>
    <t>System Monitoring</t>
  </si>
  <si>
    <t>Software Change Management</t>
  </si>
  <si>
    <t>D.3</t>
  </si>
  <si>
    <t>D.3.3</t>
  </si>
  <si>
    <t>D.5</t>
  </si>
  <si>
    <t>E</t>
  </si>
  <si>
    <t>E.1</t>
  </si>
  <si>
    <t>E.1.1</t>
  </si>
  <si>
    <t>E.2</t>
  </si>
  <si>
    <t>E.2.1</t>
  </si>
  <si>
    <t>E.2.2</t>
  </si>
  <si>
    <t>E.5</t>
  </si>
  <si>
    <t>F</t>
  </si>
  <si>
    <t>Poslední rok projektu</t>
  </si>
  <si>
    <t>Cloud (optimalizace IaaS)</t>
  </si>
  <si>
    <t>G</t>
  </si>
  <si>
    <t>H</t>
  </si>
  <si>
    <t>ročně</t>
  </si>
  <si>
    <t>H.1</t>
  </si>
  <si>
    <t>H.1.1 Tréninky</t>
  </si>
  <si>
    <t>I</t>
  </si>
  <si>
    <t>Z</t>
  </si>
  <si>
    <t>upraveno - doplněno</t>
  </si>
  <si>
    <t>upraveno - kontrola doplnění</t>
  </si>
  <si>
    <t>kontrola vazeb na propočet, vazba do B.2.1</t>
  </si>
  <si>
    <t>kontrola vazeb na propočet, nárůst dle procent</t>
  </si>
  <si>
    <t xml:space="preserve">propočet </t>
  </si>
  <si>
    <t>Appliance</t>
  </si>
  <si>
    <t>BYOL</t>
  </si>
  <si>
    <t>DB</t>
  </si>
  <si>
    <t>DC</t>
  </si>
  <si>
    <t>eGC</t>
  </si>
  <si>
    <t>eGovernment cloud</t>
  </si>
  <si>
    <t>KB</t>
  </si>
  <si>
    <t>MD</t>
  </si>
  <si>
    <t>OHA</t>
  </si>
  <si>
    <t>On-premise</t>
  </si>
  <si>
    <t>OVM</t>
  </si>
  <si>
    <t xml:space="preserve">Storage Area Network </t>
  </si>
  <si>
    <t>TCO</t>
  </si>
  <si>
    <t>XaaS</t>
  </si>
  <si>
    <t>Outsourcing</t>
  </si>
  <si>
    <t>Managed service</t>
  </si>
  <si>
    <t>provazba do výsledku porovnání na velikost diskového úložiště, následně dopad do výpočtu B.2.1</t>
  </si>
  <si>
    <t>B.2.1, současně nárůst v letech dle % ročního nárůstu diskového úložiště</t>
  </si>
  <si>
    <t>souhrn</t>
  </si>
  <si>
    <t xml:space="preserve">Middleware </t>
  </si>
  <si>
    <t xml:space="preserve">Maintenance </t>
  </si>
  <si>
    <t>Digitální a informační agentura
eGC calculator</t>
  </si>
  <si>
    <t>Authors:
Ing. Judita Jamrichová, MBA
Ing. Petr Leština
Mgr. Martin Dolný</t>
  </si>
  <si>
    <t xml:space="preserve">Basic parameters of the solution </t>
  </si>
  <si>
    <t>All values listed are</t>
  </si>
  <si>
    <t>VAT according to the law</t>
  </si>
  <si>
    <t xml:space="preserve">All values listed in sheets No.1. Introductory parameters, No.2. On- premise input data and  No. 3. Cloud input data should be entered uniformly according to the parameter selected here. </t>
  </si>
  <si>
    <t>in the  years</t>
  </si>
  <si>
    <t>Select of project duration</t>
  </si>
  <si>
    <t>Project duration</t>
  </si>
  <si>
    <t>Set as a one-time expense in the first year?</t>
  </si>
  <si>
    <t>Set as a one-time expense in the last year?</t>
  </si>
  <si>
    <r>
      <t>This row is used to select the parameter to be displayed  in the comparison result-</t>
    </r>
    <r>
      <rPr>
        <b/>
        <sz val="10"/>
        <color rgb="FF000000"/>
        <rFont val="Calibri"/>
        <family val="2"/>
        <charset val="238"/>
        <scheme val="minor"/>
      </rPr>
      <t xml:space="preserve"> for one time costs in the last year</t>
    </r>
    <r>
      <rPr>
        <b/>
        <sz val="10"/>
        <color rgb="FFFF0000"/>
        <rFont val="Calibri"/>
        <family val="2"/>
        <charset val="238"/>
        <scheme val="minor"/>
      </rPr>
      <t xml:space="preserve"> of the project </t>
    </r>
    <r>
      <rPr>
        <sz val="10"/>
        <color indexed="8"/>
        <rFont val="Calibri"/>
        <family val="2"/>
        <charset val="238"/>
        <scheme val="minor"/>
      </rPr>
      <t>( cost categories F, G and I)</t>
    </r>
  </si>
  <si>
    <r>
      <t>It is used to select the view in the comparison result sheet.</t>
    </r>
    <r>
      <rPr>
        <b/>
        <sz val="8"/>
        <color rgb="FF000000"/>
        <rFont val="Calibri"/>
        <family val="2"/>
        <charset val="238"/>
      </rPr>
      <t xml:space="preserve"> YES - displayed in the first year</t>
    </r>
    <r>
      <rPr>
        <sz val="8"/>
        <color indexed="8"/>
        <rFont val="Calibri"/>
        <family val="2"/>
        <charset val="238"/>
      </rPr>
      <t xml:space="preserve">; </t>
    </r>
    <r>
      <rPr>
        <b/>
        <sz val="8"/>
        <color rgb="FF000000"/>
        <rFont val="Calibri"/>
        <family val="2"/>
        <charset val="238"/>
      </rPr>
      <t>NO - displayed up to the length of the project</t>
    </r>
    <r>
      <rPr>
        <sz val="8"/>
        <color indexed="8"/>
        <rFont val="Calibri"/>
        <family val="2"/>
        <charset val="238"/>
      </rPr>
      <t>, according to this selection the same view in the comparison result will also be displayed for the cloud solution.</t>
    </r>
  </si>
  <si>
    <r>
      <t>It is used to select the view in the comparison result sheet.</t>
    </r>
    <r>
      <rPr>
        <b/>
        <sz val="8"/>
        <color rgb="FF000000"/>
        <rFont val="Calibri"/>
        <family val="2"/>
        <charset val="238"/>
      </rPr>
      <t xml:space="preserve"> YES - displayed in the last year</t>
    </r>
    <r>
      <rPr>
        <sz val="8"/>
        <color indexed="8"/>
        <rFont val="Calibri"/>
        <family val="2"/>
        <charset val="238"/>
      </rPr>
      <t xml:space="preserve">; </t>
    </r>
    <r>
      <rPr>
        <b/>
        <sz val="8"/>
        <color rgb="FF000000"/>
        <rFont val="Calibri"/>
        <family val="2"/>
        <charset val="238"/>
      </rPr>
      <t>NO - displayed up to the length of the project</t>
    </r>
    <r>
      <rPr>
        <sz val="8"/>
        <color indexed="8"/>
        <rFont val="Calibri"/>
        <family val="2"/>
        <charset val="238"/>
      </rPr>
      <t>, according to this selection the same view in the comparison result will also be displayed for the cloud solution.</t>
    </r>
  </si>
  <si>
    <r>
      <t xml:space="preserve">This row is used to select the parameter to be displayed in the comparison result - </t>
    </r>
    <r>
      <rPr>
        <b/>
        <sz val="10"/>
        <color indexed="8"/>
        <rFont val="Calibri"/>
        <family val="2"/>
        <charset val="238"/>
        <scheme val="minor"/>
      </rPr>
      <t xml:space="preserve">for one-time costs in the first year of the </t>
    </r>
    <r>
      <rPr>
        <b/>
        <sz val="10"/>
        <color rgb="FFFF0000"/>
        <rFont val="Calibri"/>
        <family val="2"/>
        <charset val="238"/>
        <scheme val="minor"/>
      </rPr>
      <t>project</t>
    </r>
    <r>
      <rPr>
        <sz val="10"/>
        <color indexed="8"/>
        <rFont val="Calibri"/>
        <family val="2"/>
        <charset val="238"/>
        <scheme val="minor"/>
      </rPr>
      <t xml:space="preserve"> (cost categories A, B, C and Z)</t>
    </r>
  </si>
  <si>
    <t>Considered solution for IaaS/PaaS/SaaS</t>
  </si>
  <si>
    <t>Options</t>
  </si>
  <si>
    <t>Value</t>
  </si>
  <si>
    <t>Comment</t>
  </si>
  <si>
    <t>Product</t>
  </si>
  <si>
    <t>Deployment</t>
  </si>
  <si>
    <t xml:space="preserve">Support 24/7 </t>
  </si>
  <si>
    <t>Yearly time fund</t>
  </si>
  <si>
    <t>Internal operations and support</t>
  </si>
  <si>
    <t>Hours per year</t>
  </si>
  <si>
    <t>Only information on the level of support considered for both solutions</t>
  </si>
  <si>
    <t>216 days x 8 hours, holidays are deducted from the working fund</t>
  </si>
  <si>
    <t>Unit</t>
  </si>
  <si>
    <t>Currency</t>
  </si>
  <si>
    <t>EURO</t>
  </si>
  <si>
    <t>Hour/year</t>
  </si>
  <si>
    <t>Hour</t>
  </si>
  <si>
    <t>Number of MD</t>
  </si>
  <si>
    <t>Year</t>
  </si>
  <si>
    <t>% /year</t>
  </si>
  <si>
    <t>Human resources</t>
  </si>
  <si>
    <t>Cost of human resources</t>
  </si>
  <si>
    <t>Role 1 - IT hourly rate</t>
  </si>
  <si>
    <t>Role 2 - IT hourly rate</t>
  </si>
  <si>
    <t>Role 3 - IT hourly rate</t>
  </si>
  <si>
    <t>Units used</t>
  </si>
  <si>
    <t xml:space="preserve">Composition of human resource costs </t>
  </si>
  <si>
    <t>Role 1 - Project manager</t>
  </si>
  <si>
    <t>Gross salary of the employee</t>
  </si>
  <si>
    <t>Total compensation cost including payroll taxes</t>
  </si>
  <si>
    <t xml:space="preserve"> Education costs(training,seminars, conferences incl. travel costs )</t>
  </si>
  <si>
    <t>Direct costs</t>
  </si>
  <si>
    <t>Role 2 - Architect, Analyst</t>
  </si>
  <si>
    <t>Education costs (training, seminars, conferences incl. travel costs)</t>
  </si>
  <si>
    <t>Role 3 - Specialist</t>
  </si>
  <si>
    <t>wage costs per employee</t>
  </si>
  <si>
    <t>per employee</t>
  </si>
  <si>
    <t>Personal equipment (laptop, phone, etc.)</t>
  </si>
  <si>
    <t xml:space="preserve">Here, indirect costs per employee are only entered if they can be quantified. Costs that can not be attributed here are reported separately in categories Z.1 and Z.2 in the on- premise and cloud inputs. </t>
  </si>
  <si>
    <t>TOTAL role 1</t>
  </si>
  <si>
    <t>TOTAL role 2</t>
  </si>
  <si>
    <t>TOTAL role 3</t>
  </si>
  <si>
    <t>Estimated number of users</t>
  </si>
  <si>
    <t>Data used</t>
  </si>
  <si>
    <t>Commentary</t>
  </si>
  <si>
    <t>Number of users of the IT service</t>
  </si>
  <si>
    <t>Number</t>
  </si>
  <si>
    <t>Number of IT or cloud service users</t>
  </si>
  <si>
    <r>
      <rPr>
        <b/>
        <sz val="10"/>
        <color theme="1"/>
        <rFont val="Calibri"/>
        <family val="2"/>
        <charset val="238"/>
      </rPr>
      <t>Z.1 Operating overhead</t>
    </r>
    <r>
      <rPr>
        <sz val="10"/>
        <color theme="1"/>
        <rFont val="Calibri"/>
        <family val="2"/>
        <charset val="238"/>
      </rPr>
      <t xml:space="preserve"> - to be filled in for the solution in sheet 2. On-premise input data or 3. Cloud input data</t>
    </r>
  </si>
  <si>
    <r>
      <rPr>
        <b/>
        <sz val="10"/>
        <color theme="1"/>
        <rFont val="Calibri"/>
        <family val="2"/>
        <charset val="238"/>
      </rPr>
      <t>Z.2 Administration overhead</t>
    </r>
    <r>
      <rPr>
        <sz val="10"/>
        <color theme="1"/>
        <rFont val="Calibri"/>
        <family val="2"/>
        <charset val="238"/>
      </rPr>
      <t xml:space="preserve"> - to be filled in for the solution in sheet 2. On-premise input data or 3. Cloud input data</t>
    </r>
  </si>
  <si>
    <t>required data into the result</t>
  </si>
  <si>
    <t>calculator</t>
  </si>
  <si>
    <t>Operating system</t>
  </si>
  <si>
    <t>Operating System - annual Maintenance</t>
  </si>
  <si>
    <t>Virtualization / hypervisor</t>
  </si>
  <si>
    <t>Virtualization / hypervisor - annual maintenance</t>
  </si>
  <si>
    <t>Antivirus/antispam license</t>
  </si>
  <si>
    <t>Antivirus - annual maintenance</t>
  </si>
  <si>
    <t>Backup</t>
  </si>
  <si>
    <t>Backup  SW - annual maintenance</t>
  </si>
  <si>
    <t>Monitoring - annual maintenance</t>
  </si>
  <si>
    <t>Other software</t>
  </si>
  <si>
    <t>Other  software - annual maintenance</t>
  </si>
  <si>
    <t>Annual maintenance</t>
  </si>
  <si>
    <t>Set as a  one time expense in the first year?</t>
  </si>
  <si>
    <t>Database software</t>
  </si>
  <si>
    <t>Database</t>
  </si>
  <si>
    <t>Database- annual maintenance</t>
  </si>
  <si>
    <t>Set a a one- time expense in the first year?</t>
  </si>
  <si>
    <t xml:space="preserve">Annual maintenace fees for development SW </t>
  </si>
  <si>
    <t>Middleware and integration software</t>
  </si>
  <si>
    <t>Integration  software</t>
  </si>
  <si>
    <t>Integration SW- annual maintenance</t>
  </si>
  <si>
    <t>Other software - annual maintenance</t>
  </si>
  <si>
    <t>Modifications/repairs/development of operational and system SW (above standard maintenance)</t>
  </si>
  <si>
    <t>Set as  a onetime expense in the first year ?
or
Role selection 1-3</t>
  </si>
  <si>
    <t>Aplication  software - licence</t>
  </si>
  <si>
    <t>Aplication software - annual maintenance</t>
  </si>
  <si>
    <t>Purchase of customized development solution or in- house development</t>
  </si>
  <si>
    <t>In- house development</t>
  </si>
  <si>
    <t>Own development- converted to Kč</t>
  </si>
  <si>
    <t>HW/SW device (Appliance)</t>
  </si>
  <si>
    <t>HW for appliance</t>
  </si>
  <si>
    <t>SW for appliance</t>
  </si>
  <si>
    <t>Annual maintenance (maintenance)</t>
  </si>
  <si>
    <t xml:space="preserve">Modifications/ HW/SW equipement development (Appliance,above standard development) </t>
  </si>
  <si>
    <t xml:space="preserve">Modifications/HW/ SW equipment (Appliance, above standard development) </t>
  </si>
  <si>
    <t>Server lifetime</t>
  </si>
  <si>
    <t>Purchase price of the server</t>
  </si>
  <si>
    <t>Annual server maintenance cost</t>
  </si>
  <si>
    <t>Modifications/ development of HW and network infrastructure elements( above standard maintenance)</t>
  </si>
  <si>
    <t xml:space="preserve">Modifictions/development of  HW and network infrastructure elements ( above standard maintenance) </t>
  </si>
  <si>
    <t>Total price for all servers</t>
  </si>
  <si>
    <t>Disk storage</t>
  </si>
  <si>
    <t>Total storage size</t>
  </si>
  <si>
    <t>Annual increase in disk storage size</t>
  </si>
  <si>
    <t>SAN storage purchase price</t>
  </si>
  <si>
    <t>Annual depreciation of SAN storage</t>
  </si>
  <si>
    <t>One SAN contains the number of disks</t>
  </si>
  <si>
    <t>One SAN takes up  the number of drives in rack</t>
  </si>
  <si>
    <t>Disk size</t>
  </si>
  <si>
    <t>Secured capacity</t>
  </si>
  <si>
    <t>Purchase price of HW data backup</t>
  </si>
  <si>
    <t>Annual depreciation of HW backup</t>
  </si>
  <si>
    <t>Set as a one- time expense in the first year?</t>
  </si>
  <si>
    <t>Networking and network elements</t>
  </si>
  <si>
    <t>Other element</t>
  </si>
  <si>
    <t>Internal connectivity- support</t>
  </si>
  <si>
    <t>External connectivity</t>
  </si>
  <si>
    <t>SW and HW for security</t>
  </si>
  <si>
    <t>HW for cyber security</t>
  </si>
  <si>
    <t>SW for cyber security</t>
  </si>
  <si>
    <t>Other HW elements</t>
  </si>
  <si>
    <t xml:space="preserve">SW for security </t>
  </si>
  <si>
    <t>SW for security - annual maintenance</t>
  </si>
  <si>
    <t>Firewall - annual maintenance</t>
  </si>
  <si>
    <t>HW/SW for cyber security- annual maintenance</t>
  </si>
  <si>
    <t>Other element - annual maintenance</t>
  </si>
  <si>
    <t>Modifications/repairs/development of cybersecurity assets (above standard maintenace)</t>
  </si>
  <si>
    <t>Modifications/repairs/development of cybersecurity assets (above standard maintenance)</t>
  </si>
  <si>
    <t>For example HW for security monitoring for example Q-RADAR</t>
  </si>
  <si>
    <t>For example. SW for security monitoring for example Q-RADAR</t>
  </si>
  <si>
    <t>Network Appliance,cabling , optical elements etc</t>
  </si>
  <si>
    <t>SW for key management, SW for encryption  etc</t>
  </si>
  <si>
    <t>Includes charges related to the operation</t>
  </si>
  <si>
    <t>Data center location costs</t>
  </si>
  <si>
    <t>Building, operational and communication infrastructure</t>
  </si>
  <si>
    <t>Building infrastructure</t>
  </si>
  <si>
    <t>Operational technology</t>
  </si>
  <si>
    <t>Connection to external communication networks</t>
  </si>
  <si>
    <t>Rack purchase costs</t>
  </si>
  <si>
    <t>Cost of placing Racks in the data centre</t>
  </si>
  <si>
    <t>Set a one- time expense in the first year?</t>
  </si>
  <si>
    <t>Price of backup power per  1 kWh and cooling</t>
  </si>
  <si>
    <t>Electricity consumption for all servers per year</t>
  </si>
  <si>
    <t>Electricity consumption for all storage per year</t>
  </si>
  <si>
    <t>Electricity consumption - other HW per year</t>
  </si>
  <si>
    <t>The product of the price per 1 kWh of the electricity supplier and the  PUE</t>
  </si>
  <si>
    <t>Careful, not to double load D.3.3.2, D.3.3.3, D.3.3.4 versus D.3.3.1</t>
  </si>
  <si>
    <t>ICT service operating costs- human resources</t>
  </si>
  <si>
    <t>Support for users</t>
  </si>
  <si>
    <t>Support: User administration (add,change, remove)</t>
  </si>
  <si>
    <t>Support: Incident management</t>
  </si>
  <si>
    <t>Support: other relevant activities</t>
  </si>
  <si>
    <t>Support: external support service</t>
  </si>
  <si>
    <t>Total support</t>
  </si>
  <si>
    <t>rate/hourly</t>
  </si>
  <si>
    <t>Operation</t>
  </si>
  <si>
    <t>Operation: System monitoring</t>
  </si>
  <si>
    <t xml:space="preserve">Operation: Application monitoring </t>
  </si>
  <si>
    <t>Operation : System administration</t>
  </si>
  <si>
    <t>Operation: Application administration</t>
  </si>
  <si>
    <t>Operation: System troubleshooting</t>
  </si>
  <si>
    <t>Operation: Application troubleshooting</t>
  </si>
  <si>
    <t>Operation: Change management for systems</t>
  </si>
  <si>
    <t>Operation: Change management for applications</t>
  </si>
  <si>
    <t>Operation: System Service Desk and  Incident management</t>
  </si>
  <si>
    <t>Operation:  Backup (application and system  )</t>
  </si>
  <si>
    <t>Operation: other relevant  activities for applications</t>
  </si>
  <si>
    <t>Operation: other relevant activities  for IT technologies</t>
  </si>
  <si>
    <t>Operation: operational security</t>
  </si>
  <si>
    <t xml:space="preserve">Application modifications/development (above standard maintenance) </t>
  </si>
  <si>
    <t>Operations: security oversight</t>
  </si>
  <si>
    <t>Operation: External application operation service</t>
  </si>
  <si>
    <t>Operations: External IT operations service</t>
  </si>
  <si>
    <t>Total operations</t>
  </si>
  <si>
    <t>Cybersecurity</t>
  </si>
  <si>
    <t>Management: Cyber security project management</t>
  </si>
  <si>
    <t>Management: Other relevant cybersecurity activities</t>
  </si>
  <si>
    <t>Management: Cyber security</t>
  </si>
  <si>
    <t>Cyber security External costs 1</t>
  </si>
  <si>
    <t>Cyber security External costs 2</t>
  </si>
  <si>
    <t>Total management</t>
  </si>
  <si>
    <t>Total cost to manage KB services by internal capacities</t>
  </si>
  <si>
    <t>Total KB costs</t>
  </si>
  <si>
    <t>Cost of introducing and changing ICT service</t>
  </si>
  <si>
    <t>External purchase: cyber security and security surveillance</t>
  </si>
  <si>
    <t>Penetration tests, external audits, consulting</t>
  </si>
  <si>
    <t>Costs of implementing an on-premise ICT service</t>
  </si>
  <si>
    <t>A. Planning, analysis. Proposal, selection and procurement</t>
  </si>
  <si>
    <t>Project plan- TCO analysis</t>
  </si>
  <si>
    <t>Cost of external consultancy for project preparation</t>
  </si>
  <si>
    <t>Costs for selection of contractor - public contract</t>
  </si>
  <si>
    <t>Cost of external consultancy - public contract</t>
  </si>
  <si>
    <t>Total purchase</t>
  </si>
  <si>
    <t>According to the data in the Introductory Parameters</t>
  </si>
  <si>
    <t>Set as a one time expense in the first year ?</t>
  </si>
  <si>
    <t>It will be displayed in the comparison result according to the selected parameter. 
YES - displayed in the first year; NO - displayed up to the length of the project.</t>
  </si>
  <si>
    <t>C. Development, implementation, modification, integration and test run</t>
  </si>
  <si>
    <t xml:space="preserve">Project management of development and implementation on  </t>
  </si>
  <si>
    <t>Solution architecture</t>
  </si>
  <si>
    <t>ICT service analysis cost</t>
  </si>
  <si>
    <t>Costs of changes induced by the implementation of the ICT service</t>
  </si>
  <si>
    <t>HW and technology implementation</t>
  </si>
  <si>
    <t>Infrastructure SW implementation</t>
  </si>
  <si>
    <t>Infrastructure  SW implementation</t>
  </si>
  <si>
    <t>Application development and programming modifications</t>
  </si>
  <si>
    <t>Customization of solution /ICT services</t>
  </si>
  <si>
    <t>Integration of the solution/ICT service to other applications/systems</t>
  </si>
  <si>
    <t>Data acquisition, data migration</t>
  </si>
  <si>
    <t>Testing</t>
  </si>
  <si>
    <t>User training</t>
  </si>
  <si>
    <t>Acceptance and verification operation</t>
  </si>
  <si>
    <t>Cybersecurity preparation</t>
  </si>
  <si>
    <t>Security project, audit</t>
  </si>
  <si>
    <t>Other</t>
  </si>
  <si>
    <t>Total implementation</t>
  </si>
  <si>
    <t>Set as one- time expense in the first year?</t>
  </si>
  <si>
    <t>Data set</t>
  </si>
  <si>
    <t>external purchase</t>
  </si>
  <si>
    <t>Hours for another type of activities</t>
  </si>
  <si>
    <t xml:space="preserve"> Cost for external consultation /advice</t>
  </si>
  <si>
    <t>Gradual improvement projects</t>
  </si>
  <si>
    <t>Functional (process) innovation development projects</t>
  </si>
  <si>
    <t>Technology development projects</t>
  </si>
  <si>
    <t>Roll-out projects (extension to other users, organisation)</t>
  </si>
  <si>
    <t>Solution optimization projects (for example HW consolidation)</t>
  </si>
  <si>
    <t>Solution optimization projects (for example, HW consolidation)</t>
  </si>
  <si>
    <t>Set as one- time expense in the last year?</t>
  </si>
  <si>
    <t>It will be displayed in the comparison result according to the selected parameter. 
YES - displayed in the last year; NO - displayed up to the length of the project.</t>
  </si>
  <si>
    <t>Upgrade projects</t>
  </si>
  <si>
    <t>Application upgrade projects</t>
  </si>
  <si>
    <t>System SW upgrade projects</t>
  </si>
  <si>
    <t>Technology upgrade projects</t>
  </si>
  <si>
    <t>Infrastructure upgrade</t>
  </si>
  <si>
    <t>Increased costs of use</t>
  </si>
  <si>
    <t>Cost of lost productivity - Training</t>
  </si>
  <si>
    <t>Cost of lost productivity - Downtime and outages</t>
  </si>
  <si>
    <t xml:space="preserve">Cost of using the solution </t>
  </si>
  <si>
    <t>Cost of using the solution</t>
  </si>
  <si>
    <t>Decrease in performance and efficiency related to the new solution</t>
  </si>
  <si>
    <t>Preservation and attenuation of the solution</t>
  </si>
  <si>
    <t>Archiving, preservation and attenuation of the solution</t>
  </si>
  <si>
    <t>Preparation of data for migration from the solution on termination</t>
  </si>
  <si>
    <t>Elimination of solution components</t>
  </si>
  <si>
    <t>Operating costs (only if you are using a hybrid solution for TCO calculation)</t>
  </si>
  <si>
    <t>Complete only for TCO IS calculation if the service is included</t>
  </si>
  <si>
    <r>
      <t xml:space="preserve">Overhead </t>
    </r>
    <r>
      <rPr>
        <b/>
        <u/>
        <sz val="10"/>
        <color theme="0"/>
        <rFont val="Calibri"/>
        <family val="2"/>
        <charset val="238"/>
      </rPr>
      <t>(if you have included the indirect cost in the role in sheet 1. Initial parameters, do not mention it here</t>
    </r>
    <r>
      <rPr>
        <b/>
        <sz val="10"/>
        <color theme="0"/>
        <rFont val="Calibri"/>
        <family val="2"/>
      </rPr>
      <t>)</t>
    </r>
  </si>
  <si>
    <t>Operating overhead</t>
  </si>
  <si>
    <t>Includes items in relation to assets for example (building, HW+SW, furniture...)</t>
  </si>
  <si>
    <t xml:space="preserve"> Indicate here which overhead it is(for example depreciation of the building )</t>
  </si>
  <si>
    <t>what it is, annually/one-time</t>
  </si>
  <si>
    <t>here we have to fill it in</t>
  </si>
  <si>
    <t>assumption that the initial overhead is exclusive and inclusive of VAT</t>
  </si>
  <si>
    <t>EURO/year</t>
  </si>
  <si>
    <t>EURO - one time charge</t>
  </si>
  <si>
    <t xml:space="preserve">Operating overhead 1 </t>
  </si>
  <si>
    <t>Operating overhead 2</t>
  </si>
  <si>
    <t>Operating overhead  3</t>
  </si>
  <si>
    <t>Operating overhead 4</t>
  </si>
  <si>
    <t>Operating overhead 5</t>
  </si>
  <si>
    <t>Operating overhead 6</t>
  </si>
  <si>
    <t>Operating overhead 7</t>
  </si>
  <si>
    <t>Operating overhead 8</t>
  </si>
  <si>
    <t>Operating overhead 9</t>
  </si>
  <si>
    <t>Operating overhead 10</t>
  </si>
  <si>
    <t>Administration overhead</t>
  </si>
  <si>
    <t>Administration overhead 1</t>
  </si>
  <si>
    <t>Administration overhead 2</t>
  </si>
  <si>
    <t>Administration overhead 3</t>
  </si>
  <si>
    <t>Administration overhead 4</t>
  </si>
  <si>
    <t>Administration overhead  5</t>
  </si>
  <si>
    <t>Administration overead 6</t>
  </si>
  <si>
    <t>Administration overhead 7</t>
  </si>
  <si>
    <t>Administration overhead 8</t>
  </si>
  <si>
    <t>Administration overhead 9</t>
  </si>
  <si>
    <t>Administration overhead  10</t>
  </si>
  <si>
    <t>without VAT</t>
  </si>
  <si>
    <t>Includes items  related to emloyees who are not involved in the project calculation under roles (leader, director); without VAT</t>
  </si>
  <si>
    <t>Number of hours per role - internal</t>
  </si>
  <si>
    <t>Annual operation</t>
  </si>
  <si>
    <t>Modifications</t>
  </si>
  <si>
    <t>KB operation</t>
  </si>
  <si>
    <t>operation- increased costs</t>
  </si>
  <si>
    <t>Total</t>
  </si>
  <si>
    <t>Total MD</t>
  </si>
  <si>
    <t>Total MD for the length of the project</t>
  </si>
  <si>
    <t>Project preparation:</t>
  </si>
  <si>
    <t>One- time preparation</t>
  </si>
  <si>
    <t>Upgrade, conservation</t>
  </si>
  <si>
    <t>TOTAL</t>
  </si>
  <si>
    <t>TOTAL MD</t>
  </si>
  <si>
    <t>total number of hours in 1 year</t>
  </si>
  <si>
    <t xml:space="preserve">total number of hours </t>
  </si>
  <si>
    <t>TCO calculation or comparison results with cloud service</t>
  </si>
  <si>
    <t>Cost of on-premise solution</t>
  </si>
  <si>
    <t>Cost of cloud solution</t>
  </si>
  <si>
    <t>Cost of on/ premise solution</t>
  </si>
  <si>
    <t>Number of MD staff involved in implementation and operation</t>
  </si>
  <si>
    <t>Project preparation</t>
  </si>
  <si>
    <t>Length of the project</t>
  </si>
  <si>
    <t>Conversion to MD - project preparation (on-premise)</t>
  </si>
  <si>
    <t>Conversion to MD - operation (on-premise)</t>
  </si>
  <si>
    <t>Conversion to MD - project preparation (cloud)</t>
  </si>
  <si>
    <t>Conversion to MD - operation (cloud)</t>
  </si>
  <si>
    <t>On- premise solution</t>
  </si>
  <si>
    <t>Preliminary analysis, task, selection and purchase</t>
  </si>
  <si>
    <t>Project plan and initial studies</t>
  </si>
  <si>
    <t>Task order and selection of contractor</t>
  </si>
  <si>
    <t xml:space="preserve">Values are given in </t>
  </si>
  <si>
    <t>ON-premise solution</t>
  </si>
  <si>
    <t>Cloud solution</t>
  </si>
  <si>
    <t>Cost category</t>
  </si>
  <si>
    <t>A. Preliminary analysis, assignment, selection and purchase</t>
  </si>
  <si>
    <t>D. Solution operation and support</t>
  </si>
  <si>
    <t>E. Hardware/Software maintenance and ongoing modifications</t>
  </si>
  <si>
    <t>F. Incremental solution improvement projects</t>
  </si>
  <si>
    <t>G. Upgrade Projects</t>
  </si>
  <si>
    <t>H. Increased cost of use</t>
  </si>
  <si>
    <t>Z. Other costs not attributable to the phase of the solution life cycle</t>
  </si>
  <si>
    <t>The difference in %</t>
  </si>
  <si>
    <t>Financial comparison (limit 2% of the price difference)</t>
  </si>
  <si>
    <t>Abbreviaion/term</t>
  </si>
  <si>
    <t>Explanation</t>
  </si>
  <si>
    <t>A device combining HW, SW or firmware intended for specific needs (database appliance, appliance combining the function of router and firewall, etc)</t>
  </si>
  <si>
    <t>Bring your own license – option to transfer purchased licenses to the cloud</t>
  </si>
  <si>
    <t>Data center</t>
  </si>
  <si>
    <t>Excel spreadsheet calculator for calculating TCO</t>
  </si>
  <si>
    <t xml:space="preserve">The solution combines on- premise and cloud </t>
  </si>
  <si>
    <t xml:space="preserve">Infrastructure as a Service </t>
  </si>
  <si>
    <t>Cyber security</t>
  </si>
  <si>
    <t>Cimplete management of the selected IT area by an external supplier (servers, networks, applications, cyber security)</t>
  </si>
  <si>
    <t>Man day</t>
  </si>
  <si>
    <t>Department of the Chief Architect</t>
  </si>
  <si>
    <t>Own infrastructure operated in own data center or server room</t>
  </si>
  <si>
    <t>Complete or partial IT takeover and operation by an external supplier</t>
  </si>
  <si>
    <t>Public authority</t>
  </si>
  <si>
    <t xml:space="preserve">Platform as a Service </t>
  </si>
  <si>
    <t>Software as a Service</t>
  </si>
  <si>
    <r>
      <t>Total Cost of Ownership</t>
    </r>
    <r>
      <rPr>
        <sz val="9"/>
        <color rgb="FF000000"/>
        <rFont val="Arial"/>
        <family val="2"/>
        <charset val="238"/>
      </rPr>
      <t xml:space="preserve">. A method of evaluating the total cost of ownership of a product or service. TCO expresses the complete costs of the investment and its operation, taking into account not only the purchase price, but also the expenses arising from the ownership of the assessed goods.In the case of eGC, the costs of operating the service in the state or commercial part of the cloud. </t>
    </r>
  </si>
  <si>
    <t>General designation for  IaaS, PaaS, SaaS services</t>
  </si>
  <si>
    <t>Acquisition of HW and SW</t>
  </si>
  <si>
    <t xml:space="preserve"> Operational technology (including Racks)</t>
  </si>
  <si>
    <t>Connection to internal/external communication networks</t>
  </si>
  <si>
    <t>IT technologies (HW and internal networks)</t>
  </si>
  <si>
    <t>Computing HW</t>
  </si>
  <si>
    <t>Internal network HW</t>
  </si>
  <si>
    <t>System SW license (basic SW required for application operation)</t>
  </si>
  <si>
    <t>Server system SW</t>
  </si>
  <si>
    <t>Application development SW licence</t>
  </si>
  <si>
    <t>Acquisition of application  SW</t>
  </si>
  <si>
    <t>Package solution licenses</t>
  </si>
  <si>
    <t>Purchase of customized development</t>
  </si>
  <si>
    <t>HW/SW equipment (Appliance)</t>
  </si>
  <si>
    <t>Cybersecurity assets</t>
  </si>
  <si>
    <t>Security HW</t>
  </si>
  <si>
    <t>SecuritySW</t>
  </si>
  <si>
    <t xml:space="preserve"> Upgrade projects</t>
  </si>
  <si>
    <t>Infrastructure upgrade projects</t>
  </si>
  <si>
    <t>Development, implementation, integration and test run</t>
  </si>
  <si>
    <t>Development and implementation project management</t>
  </si>
  <si>
    <t>Solution architecture, including changed processes</t>
  </si>
  <si>
    <t>Organizational and process changes(OCM, BPM)</t>
  </si>
  <si>
    <t>HW initialization and technology of the development and implementation environment</t>
  </si>
  <si>
    <t>Customization (setting parameters) of the application</t>
  </si>
  <si>
    <t>Integration of the application to other applications</t>
  </si>
  <si>
    <t>Other direct costs for the acquisition of the solution</t>
  </si>
  <si>
    <t xml:space="preserve">Operation and support of the solution </t>
  </si>
  <si>
    <t>Application operation and support</t>
  </si>
  <si>
    <t>Application monitoring</t>
  </si>
  <si>
    <t>Application administration</t>
  </si>
  <si>
    <t>Application Problem Management</t>
  </si>
  <si>
    <t>Application change management software</t>
  </si>
  <si>
    <t>Application Service Desk and Incident Management</t>
  </si>
  <si>
    <t>General and administrative costs for running applications</t>
  </si>
  <si>
    <t>IT operations and support</t>
  </si>
  <si>
    <t>System administration</t>
  </si>
  <si>
    <t>System Problem Management</t>
  </si>
  <si>
    <t>System Service Desk and Incident management</t>
  </si>
  <si>
    <t>Operation of the DC technology  building</t>
  </si>
  <si>
    <t>Operation and support of  DC technology</t>
  </si>
  <si>
    <t>Operation of communication infrastructure</t>
  </si>
  <si>
    <t>Energy to run the DC</t>
  </si>
  <si>
    <t>D.3.3.1 Energy to run the DC</t>
  </si>
  <si>
    <t>D.3.3.2 Electricity - direct server consumption</t>
  </si>
  <si>
    <t>D.3.3.3 Elektricity- direct storage consumption</t>
  </si>
  <si>
    <t>D.3.3.4 Elektricity- direct consumtion other</t>
  </si>
  <si>
    <t>Operation and support of cyber security assets</t>
  </si>
  <si>
    <t>Ensuring cybersecurity solution operation and service delivery</t>
  </si>
  <si>
    <t xml:space="preserve">Cybersecurity and security intelligence </t>
  </si>
  <si>
    <t>Operational security (penetration tests, external audits, consultancy)</t>
  </si>
  <si>
    <t>Hardware/Software maintenance and ongoing modifications (not for Cloud)</t>
  </si>
  <si>
    <t>Maintenance fees for HW and network infrastructure elements</t>
  </si>
  <si>
    <t>Maintenance fees for HW and infrastructure elements</t>
  </si>
  <si>
    <t>Communication infrastructure maintenance fees</t>
  </si>
  <si>
    <t>Fees for maintenance of development, operational and system SW and DB</t>
  </si>
  <si>
    <t>Fees for maintenance of system SW</t>
  </si>
  <si>
    <t>Fees for DB maintenance</t>
  </si>
  <si>
    <t>Fees for MW maintenance</t>
  </si>
  <si>
    <t>Application SW maintenance fees</t>
  </si>
  <si>
    <t>HW and SW device (Appliance) maintenance fees</t>
  </si>
  <si>
    <t>Annual standard maintenance fees for cyber security assets</t>
  </si>
  <si>
    <t>Modifications/repairs/development of HW and network infrastructure elements (above standard maintenance)</t>
  </si>
  <si>
    <t>Modifications/repairs/development of development, operational and system SW (above standard maintenance)</t>
  </si>
  <si>
    <t>Application modifications/repairs/development (above standard maintenance) - ongoing (internal, line-managed)</t>
  </si>
  <si>
    <t>Modifications/repairs/development of HW+SW equipment (Appliance) (above standard maintenance)</t>
  </si>
  <si>
    <t>Cybersecurity asset modifications/repairs/development (above standard maintenance)</t>
  </si>
  <si>
    <t>Roll-out projects (extension to other users, organisations)</t>
  </si>
  <si>
    <t>Cost of lost productivity</t>
  </si>
  <si>
    <t>Trainings</t>
  </si>
  <si>
    <t>Maintenance and outages</t>
  </si>
  <si>
    <t>Costs associated with the use of the solution</t>
  </si>
  <si>
    <t>Preservation and termination of the solution</t>
  </si>
  <si>
    <t>Archivation, preservation and depreciation of the solution</t>
  </si>
  <si>
    <t>Disposal of solution components</t>
  </si>
  <si>
    <t>Fee for cloud services (IaaS, PaaS, SaaS)</t>
  </si>
  <si>
    <t>Solution as a service (Licence SW, HW,operation, support, maintenance,continuous development ) - (Cloud or hybrid solution)</t>
  </si>
  <si>
    <t>Other costs not attributable to the life cycle phase of the solution</t>
  </si>
  <si>
    <t xml:space="preserve">Other operating overheads </t>
  </si>
  <si>
    <t>Other administrative overheads</t>
  </si>
  <si>
    <t>Total on-premise solution costs</t>
  </si>
  <si>
    <t>Total on-premise solution costs in thous. Currency</t>
  </si>
  <si>
    <t>Total cost of on-premise solution per user in Currency</t>
  </si>
  <si>
    <t>Cloud solutions</t>
  </si>
  <si>
    <t>Preliminary analysis, input, selection and purchase</t>
  </si>
  <si>
    <t>Project intent and initial studies</t>
  </si>
  <si>
    <t>Procurement and supplier selection</t>
  </si>
  <si>
    <t>IT technologies(HW and internal networks)</t>
  </si>
  <si>
    <t>System software licenses (basic software required to run the application)</t>
  </si>
  <si>
    <t>Package solution license</t>
  </si>
  <si>
    <t>Organizational and process changes (OCM, BPM)</t>
  </si>
  <si>
    <t>HW and technology refresh of the development and implementation environment</t>
  </si>
  <si>
    <t>HW and SW implementation for cyber security, security implementation, audit</t>
  </si>
  <si>
    <t>Operation and support of the solution</t>
  </si>
  <si>
    <t>Aplication monitoring</t>
  </si>
  <si>
    <t>Application  Service Desk and Incident management</t>
  </si>
  <si>
    <t>General and administrative costs for system operation</t>
  </si>
  <si>
    <t>Operation and support of IT technologies</t>
  </si>
  <si>
    <t>Problém Management System</t>
  </si>
  <si>
    <t>Operation of the data center technology building</t>
  </si>
  <si>
    <t>Operation and support of cyber security resources</t>
  </si>
  <si>
    <t>Ensuring cyber security solution operation and service delivery</t>
  </si>
  <si>
    <t>Cybersecurity and security reporting</t>
  </si>
  <si>
    <t>Operational security (penetration testing, external audits, consulting)</t>
  </si>
  <si>
    <t>HW/SW maintenance beyond XaaS</t>
  </si>
  <si>
    <t>Endpoint maintenance fees</t>
  </si>
  <si>
    <t xml:space="preserve">Development SW maintenance fees </t>
  </si>
  <si>
    <t>Middleware SW maintenance fees</t>
  </si>
  <si>
    <t>Application Upgrade Projects</t>
  </si>
  <si>
    <t>Increased cost of use</t>
  </si>
  <si>
    <t>Regular maintanance and outages</t>
  </si>
  <si>
    <t>Preservation and termination of  the solution</t>
  </si>
  <si>
    <t>Archiving, preservation and  solution decay</t>
  </si>
  <si>
    <t>Solution as a service (SW license, HW, operation, support, maintenance, ongoing development)</t>
  </si>
  <si>
    <t>Cloud services fee (IaaS, PaaS, SaaS)</t>
  </si>
  <si>
    <t>Other costs not attributable to the solution lifecycle phase</t>
  </si>
  <si>
    <t>Other  operating overheads</t>
  </si>
  <si>
    <t>Total cloud solution costs</t>
  </si>
  <si>
    <t>Total cloud solution costs in thous. Currency</t>
  </si>
  <si>
    <t>Total cloud solution costs per user in Currency</t>
  </si>
  <si>
    <t>Evolution of the solution size</t>
  </si>
  <si>
    <t>Disk storage growth</t>
  </si>
  <si>
    <t>Disk storage size</t>
  </si>
  <si>
    <t>Number of disks</t>
  </si>
  <si>
    <t>Number of drives in rack  taken up by storage</t>
  </si>
  <si>
    <t>Cost categories A, B, C and Z - costs are one-time at the beginning of the project, they can also be displayed as spread over the length of the project. The display parameter is specified in the Initial Parameters.</t>
  </si>
  <si>
    <t>Cost category F, G and I - costs are one-time at the end of the project, they can also be displayed as spread over the length of the project. The display parameter is specified in the Initial Parameters.</t>
  </si>
  <si>
    <t>Cloud solutions: service purchase, annual service fee and human resource costs</t>
  </si>
  <si>
    <t>Operating costs</t>
  </si>
  <si>
    <t>Annual service fee</t>
  </si>
  <si>
    <t>Enter the items below only if they are not already part of XaaS:</t>
  </si>
  <si>
    <t>ICT service operating costs - human resources</t>
  </si>
  <si>
    <t>Support: user administration (add, change, remove)</t>
  </si>
  <si>
    <t>Support: incident management</t>
  </si>
  <si>
    <t>Operation: Application monitoring</t>
  </si>
  <si>
    <t>Operation: System administration</t>
  </si>
  <si>
    <t>Operation: System Troubleshooting</t>
  </si>
  <si>
    <t>Operation: Application Troubleshooting</t>
  </si>
  <si>
    <t>Operation: Service Desk System and Application management</t>
  </si>
  <si>
    <t>Operation: Backup( application and system)</t>
  </si>
  <si>
    <t>Operation: other relevant application activities</t>
  </si>
  <si>
    <t>Operation: other relevant activities for IT technologies</t>
  </si>
  <si>
    <t>Operation: operation security</t>
  </si>
  <si>
    <t>Operation: security supervision</t>
  </si>
  <si>
    <t>Operation: external application operation service</t>
  </si>
  <si>
    <t>Operation: external IT operations service</t>
  </si>
  <si>
    <t>Rate/hourly</t>
  </si>
  <si>
    <t xml:space="preserve">External Purchasing: Cyber Security and Security Intelligence </t>
  </si>
  <si>
    <t>Total cost to manage cyber security serices by internal capabilities</t>
  </si>
  <si>
    <t>Total cyber security costs</t>
  </si>
  <si>
    <t>Total CB per year</t>
  </si>
  <si>
    <t>Application software</t>
  </si>
  <si>
    <t>Application software- BYOL licence</t>
  </si>
  <si>
    <t>Application  software - annual maintenance by BYOL</t>
  </si>
  <si>
    <t>Middleware  - BYOL licence</t>
  </si>
  <si>
    <t>Middleware - annual maintenance by BYOL</t>
  </si>
  <si>
    <t>Infrastructure SW (system SW)</t>
  </si>
  <si>
    <t>Infrastructure SW - BYOL licence</t>
  </si>
  <si>
    <t>Infrastructure SW - annual maintenance by BYOL</t>
  </si>
  <si>
    <t>Software (beyond XaaS)</t>
  </si>
  <si>
    <t xml:space="preserve">We do not consider any additional cost (included in the price of the cloud service) </t>
  </si>
  <si>
    <t>Maintenance of application licences</t>
  </si>
  <si>
    <t>E.g. databases, integration SW, key management, application servers</t>
  </si>
  <si>
    <t>own operating system, monitoring, backup</t>
  </si>
  <si>
    <t>Purchase of customized development or in-house development</t>
  </si>
  <si>
    <t>Purchase of customised development</t>
  </si>
  <si>
    <t>Maintenance fees for Development software</t>
  </si>
  <si>
    <t>External Connectivity to the Cloud</t>
  </si>
  <si>
    <t>Only if it is no longer part of the XaaS service</t>
  </si>
  <si>
    <t>Set as  a onetime expense in the first year ?</t>
  </si>
  <si>
    <t>includes fees associated with the operation</t>
  </si>
  <si>
    <t>Cost of implementing and changing the ICT service</t>
  </si>
  <si>
    <t>Planning, analysis. Proposal, selection and procurement</t>
  </si>
  <si>
    <t>Project intent- TCO analysis</t>
  </si>
  <si>
    <t>Total cost of the purchasing process</t>
  </si>
  <si>
    <t>Cost of the purchasing process</t>
  </si>
  <si>
    <t>Project management of development and implementation on the VS side</t>
  </si>
  <si>
    <t>Costs of  ICT analysis service</t>
  </si>
  <si>
    <t>Costs of ICT analysis service</t>
  </si>
  <si>
    <t>Customization of solution/ICT services</t>
  </si>
  <si>
    <t xml:space="preserve"> Costs of external consultation/advice</t>
  </si>
  <si>
    <t>Set as a onetime expense in the first year?</t>
  </si>
  <si>
    <t>Set as a onetime expense in the last year?</t>
  </si>
  <si>
    <t>Cost of lost productivity - Trainings</t>
  </si>
  <si>
    <t>Cost of lost productivity - Regular maintanance and outages</t>
  </si>
  <si>
    <t>Costs of lost productivity- Regular maintenance and outages</t>
  </si>
  <si>
    <t>Archiving, preservation and solution deprecation</t>
  </si>
  <si>
    <t>Operation overhead</t>
  </si>
  <si>
    <t>Operation overhead 1</t>
  </si>
  <si>
    <t>Operation overhead 3</t>
  </si>
  <si>
    <t>Operation overhead 4</t>
  </si>
  <si>
    <t>Operation overhead 5</t>
  </si>
  <si>
    <t>Operation overhead 6</t>
  </si>
  <si>
    <t>Operation overhead  7</t>
  </si>
  <si>
    <t>Operation overhead  8</t>
  </si>
  <si>
    <t>Operation overhead 9</t>
  </si>
  <si>
    <t>Operation overhead 10</t>
  </si>
  <si>
    <t>Administration overhead 6</t>
  </si>
  <si>
    <t>Administration overhead 10</t>
  </si>
  <si>
    <t>Includes items in relation to staff not classified within roles</t>
  </si>
  <si>
    <t>According to the data in the Introductory parameters for all items in this chapter Operating overhead and Administrative overhead</t>
  </si>
  <si>
    <t>Annual traffic</t>
  </si>
  <si>
    <t>Operation  KB</t>
  </si>
  <si>
    <t>operation increased costs</t>
  </si>
  <si>
    <t xml:space="preserve">Total MD </t>
  </si>
  <si>
    <t xml:space="preserve">Total number of hours </t>
  </si>
  <si>
    <t>Total number of hours per 1 year</t>
  </si>
  <si>
    <t>Indicate here which overhead it is (for example DC)</t>
  </si>
  <si>
    <t>What is it, annually/on a one-time basis</t>
  </si>
  <si>
    <t>Here we have to fill it in</t>
  </si>
  <si>
    <t>Assumption that operating overhead is exclusive and inclusive of VAT</t>
  </si>
  <si>
    <t xml:space="preserve">overhead of OVM, associated with the operation of </t>
  </si>
  <si>
    <t>Result note:</t>
  </si>
  <si>
    <t>For a relevant solution, it is necessary to fill in the inputs in sheet number 1 and then number 2 or 3.</t>
  </si>
  <si>
    <t>Total cost of ownership for the project period</t>
  </si>
  <si>
    <t>Project Length in years</t>
  </si>
  <si>
    <t>B. Procurement of Hardware and Software</t>
  </si>
  <si>
    <t>C. Development, implementation, integration and testing</t>
  </si>
  <si>
    <t>I. Preservation and termination of solutions</t>
  </si>
  <si>
    <t>X. Solution as a service (SW, HW license, operation, support maintenance, ongoing development)</t>
  </si>
  <si>
    <t>Financially advantageous option</t>
  </si>
  <si>
    <r>
      <rPr>
        <b/>
        <sz val="10"/>
        <color rgb="FF00B050"/>
        <rFont val="Calibri"/>
        <family val="2"/>
        <charset val="238"/>
        <scheme val="minor"/>
      </rPr>
      <t>Savings</t>
    </r>
    <r>
      <rPr>
        <b/>
        <sz val="10"/>
        <rFont val="Calibri"/>
        <family val="2"/>
        <charset val="238"/>
        <scheme val="minor"/>
      </rPr>
      <t>/</t>
    </r>
    <r>
      <rPr>
        <b/>
        <sz val="10"/>
        <color rgb="FFFF0000"/>
        <rFont val="Calibri"/>
        <family val="2"/>
        <charset val="238"/>
        <scheme val="minor"/>
      </rPr>
      <t>Price increase</t>
    </r>
    <r>
      <rPr>
        <b/>
        <sz val="10"/>
        <color rgb="FF00B050"/>
        <rFont val="Calibri"/>
        <family val="2"/>
        <charset val="238"/>
        <scheme val="minor"/>
      </rPr>
      <t xml:space="preserve"> </t>
    </r>
    <r>
      <rPr>
        <b/>
        <sz val="10"/>
        <rFont val="Calibri"/>
        <family val="2"/>
        <charset val="238"/>
        <scheme val="minor"/>
      </rPr>
      <t>from moving to a cloud solution</t>
    </r>
  </si>
  <si>
    <r>
      <rPr>
        <b/>
        <sz val="10"/>
        <rFont val="Calibri"/>
        <family val="2"/>
        <charset val="238"/>
        <scheme val="minor"/>
      </rPr>
      <t>MD</t>
    </r>
    <r>
      <rPr>
        <b/>
        <sz val="10"/>
        <color rgb="FF00B050"/>
        <rFont val="Calibri"/>
        <family val="2"/>
        <charset val="238"/>
        <scheme val="minor"/>
      </rPr>
      <t xml:space="preserve"> savings/</t>
    </r>
    <r>
      <rPr>
        <b/>
        <sz val="10"/>
        <color rgb="FFFF0000"/>
        <rFont val="Calibri"/>
        <family val="2"/>
        <charset val="238"/>
        <scheme val="minor"/>
      </rPr>
      <t xml:space="preserve"> price increase</t>
    </r>
    <r>
      <rPr>
        <b/>
        <sz val="10"/>
        <color rgb="FF00B050"/>
        <rFont val="Calibri"/>
        <family val="2"/>
        <charset val="238"/>
        <scheme val="minor"/>
      </rPr>
      <t xml:space="preserve"> </t>
    </r>
    <r>
      <rPr>
        <b/>
        <sz val="10"/>
        <rFont val="Calibri"/>
        <family val="2"/>
        <charset val="238"/>
        <scheme val="minor"/>
      </rPr>
      <t>from moving to a cloud solution - preparation</t>
    </r>
  </si>
  <si>
    <t>Requested value</t>
  </si>
  <si>
    <t xml:space="preserve">Role </t>
  </si>
  <si>
    <t>Only for information</t>
  </si>
  <si>
    <t>Indirect cost per employee</t>
  </si>
  <si>
    <t>Cost of software and hardware for on-premise solution</t>
  </si>
  <si>
    <t>Application Development software</t>
  </si>
  <si>
    <t>SW licence for development purposes</t>
  </si>
  <si>
    <t>e.g. PC, Laptop, Tablet, Mobile phone</t>
  </si>
  <si>
    <t>Devices for business users</t>
  </si>
  <si>
    <t>Device for business users</t>
  </si>
  <si>
    <t>On-premise solution: Cost of software and hardware, Data Center costs, Change Management and Human Resources costs</t>
  </si>
  <si>
    <t>Middleware and Integration software</t>
  </si>
  <si>
    <t>Aplication+B16  software</t>
  </si>
  <si>
    <t>Operating System and System software</t>
  </si>
  <si>
    <t>Electricity</t>
  </si>
  <si>
    <t>Cost of Energy to run DC</t>
  </si>
  <si>
    <t>According to the data in the 1. Initial Parameters section</t>
  </si>
  <si>
    <t>C.  Development, implementation, modification, Integration and Test run</t>
  </si>
  <si>
    <t>Cloud services fee</t>
  </si>
  <si>
    <t>According to the data in the 1. Initial Parameters section for all items in this chapter Operating Overhead and Administrative Overhead</t>
  </si>
  <si>
    <t>In-house development</t>
  </si>
  <si>
    <t>In-house development - converted to EURO</t>
  </si>
  <si>
    <t>System SW for end user devices</t>
  </si>
  <si>
    <t>Maintenance fees for end user devices</t>
  </si>
  <si>
    <r>
      <t>Overhead (</t>
    </r>
    <r>
      <rPr>
        <b/>
        <u/>
        <sz val="10"/>
        <color theme="0"/>
        <rFont val="Calibri"/>
        <family val="2"/>
        <charset val="238"/>
      </rPr>
      <t>if you have included the indirect cost in the role in sheet 1. Initial parameters, do not enter here</t>
    </r>
    <r>
      <rPr>
        <b/>
        <sz val="10"/>
        <color theme="0"/>
        <rFont val="Calibri"/>
        <family val="2"/>
      </rPr>
      <t>)</t>
    </r>
  </si>
  <si>
    <t>Internal &amp; external cost of  Cloud service operation</t>
  </si>
  <si>
    <t>End User devices</t>
  </si>
  <si>
    <t>End user devices</t>
  </si>
  <si>
    <t>End user devices maintenance fees</t>
  </si>
  <si>
    <t>System software for end user devices</t>
  </si>
  <si>
    <t>eGC calculator</t>
  </si>
  <si>
    <t>Hybrid solution</t>
  </si>
  <si>
    <t>Other administrative 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</si>
</sst>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Kč&quot;_-;\-* #,##0.00\ &quot;Kč&quot;_-;_-* &quot;-&quot;??\ &quot;Kč&quot;_-;_-@_-"/>
    <numFmt numFmtId="43" formatCode="_-* #,##0.00_-;\-* #,##0.00_-;_-* &quot;-&quot;??_-;_-@_-"/>
    <numFmt numFmtId="164" formatCode="_ &quot;kr&quot;\ * #,##0.00_ ;_ &quot;kr&quot;\ * \-#,##0.00_ ;_ &quot;kr&quot;\ * &quot;-&quot;??_ ;_ @_ "/>
    <numFmt numFmtId="165" formatCode="_ * #,##0.00_ ;_ * \-#,##0.00_ ;_ * &quot;-&quot;??_ ;_ @_ "/>
    <numFmt numFmtId="166" formatCode="_ * #,##0_ ;_ * \-#,##0_ ;_ * &quot;-&quot;??_ ;_ @_ "/>
    <numFmt numFmtId="167" formatCode="_ * #,##0.0_ ;_ * \-#,##0.0_ ;_ * &quot;-&quot;??_ ;_ @_ "/>
    <numFmt numFmtId="168" formatCode="_-* #,##0.0\ _K_č_-;\-* #,##0.0\ _K_č_-;_-* &quot;-&quot;?\ _K_č_-;_-@_-"/>
    <numFmt numFmtId="169" formatCode="#,##0\ &quot;Kč&quot;"/>
    <numFmt numFmtId="170" formatCode="#,##0.00_ ;\-#,##0.00\ "/>
    <numFmt numFmtId="171" formatCode="#,##0&quot; MD&quot;"/>
    <numFmt numFmtId="172" formatCode="#,##0.0000"/>
    <numFmt numFmtId="173" formatCode="#,##0_ ;\-#,##0\ "/>
    <numFmt numFmtId="174" formatCode="#,##0.000\ &quot;Kč&quot;"/>
    <numFmt numFmtId="175" formatCode="#,##0.000;\-#,##0.000"/>
    <numFmt numFmtId="176" formatCode="0.000%"/>
    <numFmt numFmtId="177" formatCode="&quot;YEAR &quot;#,##0"/>
  </numFmts>
  <fonts count="95" x14ac:knownFonts="1">
    <font>
      <sz val="11"/>
      <color theme="1"/>
      <name val="Arial"/>
      <family val="2"/>
      <charset val="238"/>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b/>
      <sz val="14"/>
      <color indexed="8"/>
      <name val="Calibri"/>
      <family val="2"/>
    </font>
    <font>
      <sz val="10"/>
      <name val="Calibri"/>
      <family val="2"/>
    </font>
    <font>
      <sz val="10"/>
      <color indexed="8"/>
      <name val="Calibri"/>
      <family val="2"/>
    </font>
    <font>
      <sz val="11"/>
      <color indexed="8"/>
      <name val="Calibri"/>
      <family val="2"/>
    </font>
    <font>
      <b/>
      <sz val="10"/>
      <name val="Calibri"/>
      <family val="2"/>
    </font>
    <font>
      <b/>
      <sz val="12"/>
      <color indexed="8"/>
      <name val="Calibri"/>
      <family val="2"/>
    </font>
    <font>
      <sz val="10"/>
      <color indexed="8"/>
      <name val="Calibri"/>
      <family val="2"/>
      <charset val="238"/>
    </font>
    <font>
      <b/>
      <sz val="10"/>
      <color theme="0"/>
      <name val="Calibri"/>
      <family val="2"/>
    </font>
    <font>
      <sz val="10"/>
      <color theme="0"/>
      <name val="Calibri"/>
      <family val="2"/>
      <scheme val="minor"/>
    </font>
    <font>
      <b/>
      <sz val="10"/>
      <name val="Calibri"/>
      <family val="2"/>
      <charset val="238"/>
    </font>
    <font>
      <sz val="10"/>
      <color theme="0"/>
      <name val="Calibri"/>
      <family val="2"/>
      <charset val="238"/>
    </font>
    <font>
      <b/>
      <sz val="10"/>
      <color theme="0"/>
      <name val="Calibri"/>
      <family val="2"/>
      <charset val="238"/>
    </font>
    <font>
      <sz val="10"/>
      <color theme="1"/>
      <name val="Calibri"/>
      <family val="2"/>
      <scheme val="minor"/>
    </font>
    <font>
      <sz val="12"/>
      <name val="Arial CE"/>
      <charset val="238"/>
    </font>
    <font>
      <sz val="11"/>
      <color theme="0"/>
      <name val="Calibri"/>
      <family val="2"/>
      <scheme val="minor"/>
    </font>
    <font>
      <sz val="10"/>
      <name val="Calibri"/>
      <family val="2"/>
      <charset val="238"/>
    </font>
    <font>
      <sz val="11"/>
      <color theme="1"/>
      <name val="Arial"/>
      <family val="2"/>
      <charset val="238"/>
    </font>
    <font>
      <sz val="11"/>
      <color theme="1"/>
      <name val="Calibri"/>
      <family val="2"/>
      <scheme val="minor"/>
    </font>
    <font>
      <sz val="10"/>
      <color indexed="8"/>
      <name val="Calibri"/>
      <family val="2"/>
    </font>
    <font>
      <sz val="10"/>
      <color rgb="FF000000"/>
      <name val="Calibri"/>
      <family val="2"/>
      <charset val="238"/>
    </font>
    <font>
      <sz val="10"/>
      <color theme="1"/>
      <name val="Calibri"/>
      <family val="2"/>
    </font>
    <font>
      <sz val="10"/>
      <color rgb="FFFF0000"/>
      <name val="Calibri"/>
      <family val="2"/>
    </font>
    <font>
      <sz val="11"/>
      <name val="Arial"/>
      <family val="2"/>
      <charset val="238"/>
    </font>
    <font>
      <i/>
      <sz val="10"/>
      <color rgb="FFFF0000"/>
      <name val="Calibri"/>
      <family val="2"/>
      <charset val="238"/>
    </font>
    <font>
      <b/>
      <sz val="11"/>
      <color theme="1"/>
      <name val="Calibri"/>
      <family val="2"/>
      <charset val="238"/>
      <scheme val="minor"/>
    </font>
    <font>
      <b/>
      <sz val="10"/>
      <color theme="1"/>
      <name val="Calibri"/>
      <family val="2"/>
      <scheme val="minor"/>
    </font>
    <font>
      <b/>
      <sz val="7"/>
      <color theme="0"/>
      <name val="Calibri"/>
      <family val="2"/>
      <charset val="238"/>
    </font>
    <font>
      <sz val="11"/>
      <name val="Calibri"/>
      <family val="2"/>
      <scheme val="minor"/>
    </font>
    <font>
      <b/>
      <sz val="14"/>
      <color indexed="8"/>
      <name val="Calibri"/>
      <family val="2"/>
      <charset val="238"/>
    </font>
    <font>
      <sz val="11"/>
      <color theme="1"/>
      <name val="Calibri"/>
      <family val="2"/>
      <charset val="238"/>
    </font>
    <font>
      <sz val="11"/>
      <name val="Calibri"/>
      <family val="2"/>
      <charset val="238"/>
    </font>
    <font>
      <sz val="10"/>
      <color theme="1"/>
      <name val="Calibri"/>
      <family val="2"/>
      <charset val="238"/>
    </font>
    <font>
      <b/>
      <sz val="14"/>
      <color indexed="8"/>
      <name val="Calibri"/>
      <family val="2"/>
      <scheme val="minor"/>
    </font>
    <font>
      <b/>
      <sz val="10"/>
      <color indexed="8"/>
      <name val="Calibri"/>
      <family val="2"/>
      <scheme val="minor"/>
    </font>
    <font>
      <b/>
      <sz val="10"/>
      <color theme="0"/>
      <name val="Calibri"/>
      <family val="2"/>
      <scheme val="minor"/>
    </font>
    <font>
      <sz val="10"/>
      <name val="Calibri"/>
      <family val="2"/>
      <scheme val="minor"/>
    </font>
    <font>
      <b/>
      <sz val="10"/>
      <name val="Calibri"/>
      <family val="2"/>
      <scheme val="minor"/>
    </font>
    <font>
      <sz val="10"/>
      <color indexed="8"/>
      <name val="Calibri"/>
      <family val="2"/>
      <scheme val="minor"/>
    </font>
    <font>
      <sz val="8"/>
      <color theme="1"/>
      <name val="Calibri"/>
      <family val="2"/>
      <scheme val="minor"/>
    </font>
    <font>
      <sz val="8"/>
      <color theme="1"/>
      <name val="Calibri"/>
      <family val="2"/>
      <charset val="238"/>
      <scheme val="minor"/>
    </font>
    <font>
      <b/>
      <sz val="11"/>
      <color indexed="8"/>
      <name val="Calibri"/>
      <family val="2"/>
      <charset val="238"/>
    </font>
    <font>
      <b/>
      <sz val="10"/>
      <color indexed="8"/>
      <name val="Calibri"/>
      <family val="2"/>
      <charset val="238"/>
    </font>
    <font>
      <b/>
      <sz val="12"/>
      <color indexed="8"/>
      <name val="Calibri"/>
      <family val="2"/>
      <scheme val="minor"/>
    </font>
    <font>
      <b/>
      <sz val="10"/>
      <color theme="1"/>
      <name val="Calibri"/>
      <family val="2"/>
    </font>
    <font>
      <b/>
      <sz val="9"/>
      <color theme="1"/>
      <name val="Calibri"/>
      <family val="2"/>
      <charset val="238"/>
    </font>
    <font>
      <sz val="9"/>
      <color theme="1"/>
      <name val="Calibri"/>
      <family val="2"/>
      <charset val="238"/>
    </font>
    <font>
      <sz val="8"/>
      <name val="Arial"/>
      <family val="2"/>
      <charset val="238"/>
    </font>
    <font>
      <b/>
      <sz val="10"/>
      <color indexed="8"/>
      <name val="Calibri"/>
      <family val="2"/>
      <charset val="238"/>
      <scheme val="minor"/>
    </font>
    <font>
      <sz val="7"/>
      <color theme="1"/>
      <name val="Calibri"/>
      <family val="2"/>
      <scheme val="minor"/>
    </font>
    <font>
      <b/>
      <sz val="7"/>
      <color theme="1"/>
      <name val="Calibri"/>
      <family val="2"/>
    </font>
    <font>
      <sz val="7"/>
      <color theme="1"/>
      <name val="Calibri"/>
      <family val="2"/>
    </font>
    <font>
      <sz val="7"/>
      <color theme="0"/>
      <name val="Calibri"/>
      <family val="2"/>
      <scheme val="minor"/>
    </font>
    <font>
      <sz val="7"/>
      <name val="Calibri"/>
      <family val="2"/>
      <scheme val="minor"/>
    </font>
    <font>
      <b/>
      <i/>
      <sz val="7"/>
      <color theme="1"/>
      <name val="Calibri"/>
      <family val="2"/>
      <scheme val="minor"/>
    </font>
    <font>
      <sz val="8"/>
      <name val="Calibri"/>
      <family val="2"/>
    </font>
    <font>
      <sz val="8"/>
      <color indexed="8"/>
      <name val="Calibri"/>
      <family val="2"/>
    </font>
    <font>
      <b/>
      <i/>
      <sz val="10"/>
      <color theme="1"/>
      <name val="Calibri"/>
      <family val="2"/>
      <charset val="238"/>
      <scheme val="minor"/>
    </font>
    <font>
      <sz val="7"/>
      <color theme="1"/>
      <name val="Calibri"/>
      <family val="2"/>
      <charset val="238"/>
      <scheme val="minor"/>
    </font>
    <font>
      <sz val="7"/>
      <color theme="1"/>
      <name val="Calibri"/>
      <family val="2"/>
      <charset val="238"/>
    </font>
    <font>
      <sz val="7"/>
      <name val="Calibri"/>
      <family val="2"/>
      <charset val="238"/>
      <scheme val="minor"/>
    </font>
    <font>
      <sz val="10"/>
      <name val="Calibri"/>
      <family val="2"/>
      <charset val="238"/>
      <scheme val="minor"/>
    </font>
    <font>
      <sz val="9"/>
      <color indexed="8"/>
      <name val="Calibri"/>
      <family val="2"/>
    </font>
    <font>
      <sz val="10"/>
      <color indexed="8"/>
      <name val="Calibri"/>
      <family val="2"/>
      <charset val="238"/>
      <scheme val="minor"/>
    </font>
    <font>
      <sz val="8"/>
      <color indexed="8"/>
      <name val="Calibri"/>
      <family val="2"/>
      <charset val="238"/>
    </font>
    <font>
      <b/>
      <sz val="9"/>
      <color theme="0"/>
      <name val="Calibri"/>
      <family val="2"/>
    </font>
    <font>
      <b/>
      <sz val="8"/>
      <color rgb="FF000000"/>
      <name val="Calibri"/>
      <family val="2"/>
      <charset val="238"/>
    </font>
    <font>
      <b/>
      <sz val="10"/>
      <color rgb="FF000000"/>
      <name val="Calibri"/>
      <family val="2"/>
      <charset val="238"/>
      <scheme val="minor"/>
    </font>
    <font>
      <i/>
      <sz val="8"/>
      <color theme="1"/>
      <name val="Calibri"/>
      <family val="2"/>
      <charset val="238"/>
      <scheme val="minor"/>
    </font>
    <font>
      <b/>
      <sz val="7"/>
      <color theme="1"/>
      <name val="Calibri"/>
      <family val="2"/>
      <charset val="238"/>
    </font>
    <font>
      <b/>
      <u/>
      <sz val="12"/>
      <color indexed="8"/>
      <name val="Calibri"/>
      <family val="2"/>
    </font>
    <font>
      <u/>
      <sz val="10"/>
      <name val="Calibri"/>
      <family val="2"/>
    </font>
    <font>
      <b/>
      <sz val="11"/>
      <color theme="1"/>
      <name val="Arial"/>
      <family val="2"/>
      <charset val="238"/>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11"/>
      <name val="Arial"/>
      <family val="2"/>
      <charset val="238"/>
    </font>
    <font>
      <b/>
      <sz val="9"/>
      <color rgb="FF000000"/>
      <name val="Arial"/>
      <family val="2"/>
      <charset val="238"/>
    </font>
    <font>
      <sz val="9"/>
      <color rgb="FF000000"/>
      <name val="Arial"/>
      <family val="2"/>
      <charset val="238"/>
    </font>
    <font>
      <b/>
      <sz val="10"/>
      <color rgb="FF00B050"/>
      <name val="Calibri"/>
      <family val="2"/>
      <charset val="238"/>
      <scheme val="minor"/>
    </font>
    <font>
      <b/>
      <sz val="10"/>
      <color rgb="FFFF0000"/>
      <name val="Calibri"/>
      <family val="2"/>
      <charset val="238"/>
      <scheme val="minor"/>
    </font>
    <font>
      <b/>
      <sz val="10"/>
      <name val="Calibri"/>
      <family val="2"/>
      <charset val="238"/>
      <scheme val="minor"/>
    </font>
    <font>
      <b/>
      <sz val="8"/>
      <color theme="0"/>
      <name val="Calibri"/>
      <family val="2"/>
      <charset val="238"/>
    </font>
    <font>
      <b/>
      <sz val="10"/>
      <color theme="1"/>
      <name val="Calibri"/>
      <family val="2"/>
      <charset val="238"/>
    </font>
    <font>
      <b/>
      <sz val="10"/>
      <color theme="0"/>
      <name val="Calibri"/>
      <family val="2"/>
      <charset val="238"/>
      <scheme val="minor"/>
    </font>
    <font>
      <b/>
      <u/>
      <sz val="10"/>
      <color theme="0"/>
      <name val="Calibri"/>
      <family val="2"/>
      <charset val="238"/>
    </font>
    <font>
      <sz val="8"/>
      <color indexed="8"/>
      <name val="Calibri"/>
      <family val="2"/>
      <scheme val="minor"/>
    </font>
    <font>
      <i/>
      <sz val="10"/>
      <name val="Arial"/>
      <family val="2"/>
      <charset val="238"/>
    </font>
    <font>
      <i/>
      <sz val="10"/>
      <color theme="1"/>
      <name val="Arial"/>
      <family val="2"/>
      <charset val="238"/>
    </font>
    <font>
      <i/>
      <u/>
      <sz val="10"/>
      <name val="Arial"/>
      <family val="2"/>
      <charset val="238"/>
    </font>
  </fonts>
  <fills count="2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CCECFF"/>
        <bgColor indexed="64"/>
      </patternFill>
    </fill>
    <fill>
      <patternFill patternType="solid">
        <fgColor rgb="FFCCFFCC"/>
        <bgColor indexed="64"/>
      </patternFill>
    </fill>
    <fill>
      <patternFill patternType="solid">
        <fgColor rgb="FFFFFFFF"/>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FF66CC"/>
        <bgColor indexed="64"/>
      </patternFill>
    </fill>
    <fill>
      <patternFill patternType="solid">
        <fgColor rgb="FF66FFFF"/>
        <bgColor indexed="64"/>
      </patternFill>
    </fill>
    <fill>
      <patternFill patternType="solid">
        <fgColor rgb="FF996633"/>
        <bgColor indexed="64"/>
      </patternFill>
    </fill>
  </fills>
  <borders count="33">
    <border>
      <left/>
      <right/>
      <top/>
      <bottom/>
      <diagonal/>
    </border>
    <border>
      <left/>
      <right/>
      <top style="medium">
        <color theme="2" tint="-0.499984740745262"/>
      </top>
      <bottom style="medium">
        <color theme="2" tint="-0.499984740745262"/>
      </bottom>
      <diagonal/>
    </border>
    <border>
      <left/>
      <right/>
      <top style="double">
        <color theme="2" tint="-0.499984740745262"/>
      </top>
      <bottom style="double">
        <color theme="2" tint="-0.499984740745262"/>
      </bottom>
      <diagonal/>
    </border>
    <border>
      <left/>
      <right/>
      <top style="medium">
        <color theme="2" tint="-0.499984740745262"/>
      </top>
      <bottom/>
      <diagonal/>
    </border>
    <border>
      <left/>
      <right/>
      <top/>
      <bottom style="thin">
        <color theme="2" tint="-0.499984740745262"/>
      </bottom>
      <diagonal/>
    </border>
    <border>
      <left/>
      <right/>
      <top style="thin">
        <color theme="2" tint="-0.499984740745262"/>
      </top>
      <bottom/>
      <diagonal/>
    </border>
    <border>
      <left/>
      <right/>
      <top/>
      <bottom style="thin">
        <color theme="0" tint="-0.499984740745262"/>
      </bottom>
      <diagonal/>
    </border>
    <border>
      <left/>
      <right/>
      <top/>
      <bottom style="thin">
        <color theme="0" tint="-0.249977111117893"/>
      </bottom>
      <diagonal/>
    </border>
    <border>
      <left/>
      <right/>
      <top style="double">
        <color theme="2" tint="-0.499984740745262"/>
      </top>
      <bottom/>
      <diagonal/>
    </border>
    <border>
      <left/>
      <right/>
      <top/>
      <bottom style="double">
        <color theme="2" tint="-0.499984740745262"/>
      </bottom>
      <diagonal/>
    </border>
    <border>
      <left/>
      <right/>
      <top style="double">
        <color theme="0" tint="-0.499984740745262"/>
      </top>
      <bottom style="double">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theme="0" tint="-0.499984740745262"/>
      </top>
      <bottom/>
      <diagonal/>
    </border>
    <border>
      <left/>
      <right/>
      <top/>
      <bottom style="medium">
        <color theme="2" tint="-0.499984740745262"/>
      </bottom>
      <diagonal/>
    </border>
    <border>
      <left/>
      <right/>
      <top/>
      <bottom style="double">
        <color theme="0" tint="-0.499984740745262"/>
      </bottom>
      <diagonal/>
    </border>
    <border>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top style="thin">
        <color theme="0" tint="-0.499984740745262"/>
      </top>
      <bottom style="double">
        <color theme="0" tint="-0.499984740745262"/>
      </bottom>
      <diagonal/>
    </border>
    <border>
      <left/>
      <right/>
      <top style="thin">
        <color theme="0" tint="-0.499984740745262"/>
      </top>
      <bottom/>
      <diagonal/>
    </border>
    <border>
      <left/>
      <right/>
      <top style="thin">
        <color theme="0" tint="-0.499984740745262"/>
      </top>
      <bottom style="double">
        <color theme="2" tint="-0.499984740745262"/>
      </bottom>
      <diagonal/>
    </border>
    <border>
      <left/>
      <right/>
      <top style="thin">
        <color theme="2" tint="-0.499984740745262"/>
      </top>
      <bottom style="double">
        <color theme="2" tint="-0.499984740745262"/>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auto="1"/>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top style="thin">
        <color auto="1"/>
      </top>
      <bottom style="double">
        <color auto="1"/>
      </bottom>
      <diagonal/>
    </border>
  </borders>
  <cellStyleXfs count="28">
    <xf numFmtId="0" fontId="0" fillId="0" borderId="0"/>
    <xf numFmtId="0" fontId="4" fillId="0" borderId="0"/>
    <xf numFmtId="164" fontId="8" fillId="0" borderId="0" applyFont="0" applyFill="0" applyBorder="0" applyAlignment="0">
      <alignment horizontal="right"/>
      <protection locked="0"/>
    </xf>
    <xf numFmtId="0" fontId="4" fillId="0" borderId="0"/>
    <xf numFmtId="165" fontId="8" fillId="0" borderId="0" applyFont="0" applyFill="0" applyBorder="0" applyAlignment="0" applyProtection="0"/>
    <xf numFmtId="9" fontId="8" fillId="0" borderId="0" applyFont="0" applyFill="0" applyBorder="0" applyAlignment="0" applyProtection="0"/>
    <xf numFmtId="0" fontId="18" fillId="0" borderId="0"/>
    <xf numFmtId="0" fontId="18"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9" fontId="2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21" fillId="0" borderId="0" applyFont="0" applyFill="0" applyBorder="0" applyAlignment="0" applyProtection="0"/>
    <xf numFmtId="44" fontId="18"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cellStyleXfs>
  <cellXfs count="731">
    <xf numFmtId="0" fontId="0" fillId="0" borderId="0" xfId="0"/>
    <xf numFmtId="0" fontId="4" fillId="2" borderId="0" xfId="1" applyFill="1"/>
    <xf numFmtId="0" fontId="6" fillId="2" borderId="0" xfId="1" applyFont="1" applyFill="1"/>
    <xf numFmtId="0" fontId="6" fillId="2" borderId="0" xfId="1" applyFont="1" applyFill="1" applyAlignment="1">
      <alignment vertical="center"/>
    </xf>
    <xf numFmtId="0" fontId="4" fillId="2" borderId="0" xfId="1" applyFill="1" applyAlignment="1">
      <alignment vertical="center"/>
    </xf>
    <xf numFmtId="0" fontId="17" fillId="2" borderId="0" xfId="1" applyFont="1" applyFill="1" applyAlignment="1">
      <alignment vertical="center"/>
    </xf>
    <xf numFmtId="49" fontId="7" fillId="10" borderId="0" xfId="2" applyNumberFormat="1" applyFont="1" applyFill="1" applyBorder="1" applyAlignment="1">
      <alignment horizontal="center" vertical="center"/>
      <protection locked="0"/>
    </xf>
    <xf numFmtId="3" fontId="20" fillId="9" borderId="0" xfId="4" applyNumberFormat="1" applyFont="1" applyFill="1" applyBorder="1" applyAlignment="1" applyProtection="1">
      <alignment horizontal="right" vertical="center"/>
      <protection locked="0"/>
    </xf>
    <xf numFmtId="0" fontId="34" fillId="4" borderId="0" xfId="0" applyFont="1" applyFill="1" applyAlignment="1">
      <alignment vertical="center"/>
    </xf>
    <xf numFmtId="0" fontId="3" fillId="2" borderId="0" xfId="1" applyFont="1" applyFill="1" applyAlignment="1">
      <alignment vertical="center"/>
    </xf>
    <xf numFmtId="3" fontId="20" fillId="4" borderId="0" xfId="4" applyNumberFormat="1" applyFont="1" applyFill="1" applyBorder="1" applyAlignment="1" applyProtection="1">
      <alignment horizontal="right" vertical="center"/>
      <protection locked="0"/>
    </xf>
    <xf numFmtId="3" fontId="20" fillId="9" borderId="17" xfId="4" applyNumberFormat="1" applyFont="1" applyFill="1" applyBorder="1" applyAlignment="1" applyProtection="1">
      <alignment horizontal="right" vertical="center"/>
      <protection locked="0"/>
    </xf>
    <xf numFmtId="0" fontId="3" fillId="2" borderId="0" xfId="1" applyFont="1" applyFill="1" applyAlignment="1">
      <alignment horizontal="left" vertical="center"/>
    </xf>
    <xf numFmtId="0" fontId="19" fillId="2" borderId="0" xfId="1" applyFont="1" applyFill="1" applyAlignment="1">
      <alignment vertical="center"/>
    </xf>
    <xf numFmtId="0" fontId="40" fillId="2" borderId="0" xfId="1" applyFont="1" applyFill="1" applyAlignment="1">
      <alignment horizontal="left" vertical="center"/>
    </xf>
    <xf numFmtId="0" fontId="40" fillId="2" borderId="0" xfId="1" applyFont="1" applyFill="1" applyAlignment="1">
      <alignment vertical="center"/>
    </xf>
    <xf numFmtId="171" fontId="40" fillId="4" borderId="0" xfId="4" applyNumberFormat="1" applyFont="1" applyFill="1" applyBorder="1" applyAlignment="1" applyProtection="1">
      <alignment horizontal="right" vertical="center"/>
    </xf>
    <xf numFmtId="171" fontId="41" fillId="4" borderId="8" xfId="4" applyNumberFormat="1" applyFont="1" applyFill="1" applyBorder="1" applyAlignment="1" applyProtection="1">
      <alignment horizontal="right" vertical="center"/>
    </xf>
    <xf numFmtId="3" fontId="13" fillId="7" borderId="3" xfId="1" applyNumberFormat="1" applyFont="1" applyFill="1" applyBorder="1" applyAlignment="1">
      <alignment horizontal="left" vertical="center"/>
    </xf>
    <xf numFmtId="3" fontId="42" fillId="3" borderId="0" xfId="1" applyNumberFormat="1" applyFont="1" applyFill="1" applyAlignment="1">
      <alignment horizontal="left" vertical="center"/>
    </xf>
    <xf numFmtId="3" fontId="42" fillId="2" borderId="0" xfId="1" applyNumberFormat="1" applyFont="1" applyFill="1" applyAlignment="1">
      <alignment horizontal="left" vertical="center"/>
    </xf>
    <xf numFmtId="3" fontId="13" fillId="7" borderId="5" xfId="1" applyNumberFormat="1" applyFont="1" applyFill="1" applyBorder="1" applyAlignment="1">
      <alignment horizontal="left" vertical="center"/>
    </xf>
    <xf numFmtId="3" fontId="42" fillId="4" borderId="0" xfId="1" applyNumberFormat="1" applyFont="1" applyFill="1" applyAlignment="1">
      <alignment horizontal="left" vertical="center"/>
    </xf>
    <xf numFmtId="0" fontId="32" fillId="0" borderId="0" xfId="1" applyFont="1" applyAlignment="1">
      <alignment vertical="center"/>
    </xf>
    <xf numFmtId="0" fontId="32" fillId="4" borderId="0" xfId="1" applyFont="1" applyFill="1" applyAlignment="1">
      <alignment vertical="center"/>
    </xf>
    <xf numFmtId="37" fontId="32" fillId="4" borderId="0" xfId="1" applyNumberFormat="1" applyFont="1" applyFill="1" applyAlignment="1">
      <alignment vertical="center"/>
    </xf>
    <xf numFmtId="0" fontId="43" fillId="2" borderId="0" xfId="1" applyFont="1" applyFill="1"/>
    <xf numFmtId="0" fontId="44" fillId="2" borderId="0" xfId="1" applyFont="1" applyFill="1"/>
    <xf numFmtId="3" fontId="20" fillId="4" borderId="10" xfId="4" applyNumberFormat="1" applyFont="1" applyFill="1" applyBorder="1" applyAlignment="1" applyProtection="1">
      <alignment horizontal="right" vertical="center"/>
      <protection locked="0"/>
    </xf>
    <xf numFmtId="0" fontId="38" fillId="2" borderId="24" xfId="1" applyFont="1" applyFill="1" applyBorder="1" applyAlignment="1">
      <alignment vertical="center"/>
    </xf>
    <xf numFmtId="0" fontId="37" fillId="2" borderId="24" xfId="1" applyFont="1" applyFill="1" applyBorder="1" applyAlignment="1">
      <alignment vertical="center"/>
    </xf>
    <xf numFmtId="0" fontId="37" fillId="2" borderId="24" xfId="1" applyFont="1" applyFill="1" applyBorder="1" applyAlignment="1">
      <alignment horizontal="right" vertical="center"/>
    </xf>
    <xf numFmtId="37" fontId="46" fillId="10" borderId="24" xfId="2" applyNumberFormat="1" applyFont="1" applyFill="1" applyBorder="1" applyAlignment="1">
      <alignment horizontal="center" vertical="center"/>
      <protection locked="0"/>
    </xf>
    <xf numFmtId="9" fontId="47" fillId="2" borderId="24" xfId="14" applyFont="1" applyFill="1" applyBorder="1" applyAlignment="1">
      <alignment vertical="center"/>
    </xf>
    <xf numFmtId="0" fontId="2" fillId="2" borderId="0" xfId="1" applyFont="1" applyFill="1" applyAlignment="1">
      <alignment vertical="center"/>
    </xf>
    <xf numFmtId="0" fontId="43" fillId="2" borderId="0" xfId="1" applyFont="1" applyFill="1" applyAlignment="1">
      <alignment vertical="center"/>
    </xf>
    <xf numFmtId="0" fontId="59" fillId="2" borderId="0" xfId="1" applyFont="1" applyFill="1" applyAlignment="1">
      <alignment vertical="center"/>
    </xf>
    <xf numFmtId="0" fontId="43" fillId="15" borderId="0" xfId="1" applyFont="1" applyFill="1" applyAlignment="1">
      <alignment vertical="center"/>
    </xf>
    <xf numFmtId="0" fontId="59" fillId="2" borderId="0" xfId="1" applyFont="1" applyFill="1"/>
    <xf numFmtId="0" fontId="43" fillId="4" borderId="0" xfId="1" applyFont="1" applyFill="1" applyAlignment="1">
      <alignment vertical="center"/>
    </xf>
    <xf numFmtId="3" fontId="40" fillId="2" borderId="0" xfId="1" applyNumberFormat="1" applyFont="1" applyFill="1" applyAlignment="1">
      <alignment horizontal="left" vertical="center"/>
    </xf>
    <xf numFmtId="0" fontId="40" fillId="0" borderId="0" xfId="0" applyFont="1"/>
    <xf numFmtId="0" fontId="43" fillId="0" borderId="0" xfId="1" applyFont="1" applyAlignment="1">
      <alignment vertical="center"/>
    </xf>
    <xf numFmtId="0" fontId="43" fillId="0" borderId="0" xfId="1" applyFont="1"/>
    <xf numFmtId="3" fontId="67" fillId="3" borderId="0" xfId="1" applyNumberFormat="1" applyFont="1" applyFill="1" applyAlignment="1">
      <alignment horizontal="left" vertical="center"/>
    </xf>
    <xf numFmtId="3" fontId="67" fillId="4" borderId="0" xfId="1" applyNumberFormat="1" applyFont="1" applyFill="1" applyAlignment="1">
      <alignment horizontal="left" vertical="center"/>
    </xf>
    <xf numFmtId="0" fontId="59" fillId="4" borderId="0" xfId="1" applyFont="1" applyFill="1" applyAlignment="1">
      <alignment vertical="center"/>
    </xf>
    <xf numFmtId="3" fontId="13" fillId="7" borderId="21" xfId="1" applyNumberFormat="1" applyFont="1" applyFill="1" applyBorder="1" applyAlignment="1">
      <alignment horizontal="left" vertical="center"/>
    </xf>
    <xf numFmtId="4" fontId="6" fillId="10" borderId="0" xfId="4" applyNumberFormat="1" applyFont="1" applyFill="1" applyBorder="1" applyAlignment="1" applyProtection="1">
      <alignment horizontal="right" vertical="center"/>
      <protection locked="0"/>
    </xf>
    <xf numFmtId="4" fontId="6" fillId="10" borderId="9" xfId="4" applyNumberFormat="1" applyFont="1" applyFill="1" applyBorder="1" applyAlignment="1" applyProtection="1">
      <alignment horizontal="right" vertical="center"/>
      <protection locked="0"/>
    </xf>
    <xf numFmtId="9" fontId="46" fillId="10" borderId="10" xfId="14" applyFont="1" applyFill="1" applyBorder="1" applyAlignment="1" applyProtection="1">
      <alignment horizontal="center" vertical="center"/>
      <protection locked="0"/>
    </xf>
    <xf numFmtId="1" fontId="20" fillId="10" borderId="17" xfId="4" applyNumberFormat="1" applyFont="1" applyFill="1" applyBorder="1" applyAlignment="1" applyProtection="1">
      <alignment horizontal="right" vertical="center"/>
      <protection locked="0"/>
    </xf>
    <xf numFmtId="0" fontId="1" fillId="2" borderId="0" xfId="1" applyFont="1" applyFill="1" applyAlignment="1">
      <alignment vertical="center"/>
    </xf>
    <xf numFmtId="0" fontId="44" fillId="4" borderId="0" xfId="1" applyFont="1" applyFill="1" applyAlignment="1">
      <alignment vertical="center"/>
    </xf>
    <xf numFmtId="0" fontId="43" fillId="8" borderId="0" xfId="1" applyFont="1" applyFill="1" applyAlignment="1">
      <alignment vertical="center"/>
    </xf>
    <xf numFmtId="4" fontId="14" fillId="5" borderId="0" xfId="4" applyNumberFormat="1" applyFont="1" applyFill="1" applyBorder="1" applyAlignment="1" applyProtection="1">
      <alignment horizontal="right" vertical="center"/>
    </xf>
    <xf numFmtId="4" fontId="14" fillId="5" borderId="17" xfId="4" applyNumberFormat="1" applyFont="1" applyFill="1" applyBorder="1" applyAlignment="1" applyProtection="1">
      <alignment horizontal="right" vertical="center"/>
    </xf>
    <xf numFmtId="4" fontId="20" fillId="10" borderId="0" xfId="4" applyNumberFormat="1" applyFont="1" applyFill="1" applyBorder="1" applyAlignment="1" applyProtection="1">
      <alignment horizontal="right" vertical="center"/>
      <protection locked="0"/>
    </xf>
    <xf numFmtId="0" fontId="76" fillId="0" borderId="0" xfId="0" applyFont="1" applyAlignment="1">
      <alignment horizontal="center"/>
    </xf>
    <xf numFmtId="0" fontId="0" fillId="0" borderId="0" xfId="0" applyAlignment="1">
      <alignment horizontal="center"/>
    </xf>
    <xf numFmtId="172" fontId="11" fillId="5" borderId="0" xfId="2" applyNumberFormat="1" applyFont="1" applyFill="1" applyBorder="1" applyAlignment="1">
      <alignment horizontal="right" vertical="center"/>
      <protection locked="0"/>
    </xf>
    <xf numFmtId="172" fontId="11" fillId="5" borderId="6" xfId="2" applyNumberFormat="1" applyFont="1" applyFill="1" applyBorder="1" applyAlignment="1">
      <alignment horizontal="right" vertical="center"/>
      <protection locked="0"/>
    </xf>
    <xf numFmtId="172" fontId="11" fillId="10" borderId="0" xfId="2" applyNumberFormat="1" applyFont="1" applyFill="1" applyBorder="1" applyAlignment="1">
      <alignment horizontal="right" vertical="center"/>
      <protection locked="0"/>
    </xf>
    <xf numFmtId="0" fontId="79" fillId="0" borderId="0" xfId="0" applyFont="1" applyAlignment="1">
      <alignment vertical="center"/>
    </xf>
    <xf numFmtId="0" fontId="0" fillId="0" borderId="0" xfId="0" applyAlignment="1">
      <alignment vertical="center"/>
    </xf>
    <xf numFmtId="0" fontId="77" fillId="0" borderId="0" xfId="0" applyFont="1" applyAlignment="1">
      <alignment vertical="center"/>
    </xf>
    <xf numFmtId="4" fontId="6" fillId="5" borderId="15" xfId="5" applyNumberFormat="1" applyFont="1" applyFill="1" applyBorder="1" applyAlignment="1" applyProtection="1">
      <alignment horizontal="right" vertical="center"/>
    </xf>
    <xf numFmtId="4" fontId="6" fillId="5" borderId="17" xfId="5" applyNumberFormat="1" applyFont="1" applyFill="1" applyBorder="1" applyAlignment="1" applyProtection="1">
      <alignment horizontal="right" vertical="center"/>
    </xf>
    <xf numFmtId="173" fontId="6" fillId="5" borderId="17" xfId="4" applyNumberFormat="1" applyFont="1" applyFill="1" applyBorder="1" applyAlignment="1" applyProtection="1">
      <alignment horizontal="right" vertical="center"/>
    </xf>
    <xf numFmtId="3" fontId="6" fillId="5" borderId="0" xfId="4" applyNumberFormat="1" applyFont="1" applyFill="1" applyBorder="1" applyAlignment="1" applyProtection="1">
      <alignment horizontal="right" vertical="center"/>
    </xf>
    <xf numFmtId="173" fontId="6" fillId="5" borderId="0" xfId="4" applyNumberFormat="1" applyFont="1" applyFill="1" applyBorder="1" applyAlignment="1" applyProtection="1">
      <alignment horizontal="right" vertical="center"/>
    </xf>
    <xf numFmtId="0" fontId="1" fillId="2" borderId="0" xfId="1" applyFont="1" applyFill="1" applyAlignment="1">
      <alignment horizontal="left" vertical="center"/>
    </xf>
    <xf numFmtId="0" fontId="1" fillId="2" borderId="24" xfId="1" applyFont="1" applyFill="1" applyBorder="1" applyAlignment="1">
      <alignment vertical="center"/>
    </xf>
    <xf numFmtId="0" fontId="44" fillId="15" borderId="0" xfId="1" applyFont="1" applyFill="1" applyAlignment="1">
      <alignment vertical="center"/>
    </xf>
    <xf numFmtId="0" fontId="44" fillId="2" borderId="0" xfId="1" applyFont="1" applyFill="1" applyAlignment="1">
      <alignment vertical="center"/>
    </xf>
    <xf numFmtId="0" fontId="44" fillId="0" borderId="0" xfId="1" applyFont="1" applyAlignment="1">
      <alignment vertical="center"/>
    </xf>
    <xf numFmtId="0" fontId="44" fillId="0" borderId="0" xfId="1" applyFont="1"/>
    <xf numFmtId="0" fontId="83" fillId="4" borderId="11" xfId="0" applyFont="1" applyFill="1" applyBorder="1" applyAlignment="1">
      <alignment horizontal="left" vertical="center" wrapText="1"/>
    </xf>
    <xf numFmtId="0" fontId="83" fillId="16" borderId="11" xfId="0" applyFont="1" applyFill="1" applyBorder="1" applyAlignment="1">
      <alignment horizontal="justify" vertical="center" wrapText="1"/>
    </xf>
    <xf numFmtId="0" fontId="83" fillId="17" borderId="11" xfId="0" applyFont="1" applyFill="1" applyBorder="1" applyAlignment="1">
      <alignment vertical="center" wrapText="1"/>
    </xf>
    <xf numFmtId="0" fontId="83" fillId="16" borderId="30" xfId="0" applyFont="1" applyFill="1" applyBorder="1" applyAlignment="1">
      <alignment horizontal="justify" vertical="center" wrapText="1"/>
    </xf>
    <xf numFmtId="0" fontId="82" fillId="16" borderId="31" xfId="0" applyFont="1" applyFill="1" applyBorder="1" applyAlignment="1">
      <alignment horizontal="justify" vertical="center" wrapText="1"/>
    </xf>
    <xf numFmtId="0" fontId="83" fillId="16" borderId="31" xfId="0" applyFont="1" applyFill="1" applyBorder="1" applyAlignment="1">
      <alignment horizontal="justify" vertical="center" wrapText="1"/>
    </xf>
    <xf numFmtId="0" fontId="82" fillId="18" borderId="11" xfId="0" applyFont="1" applyFill="1" applyBorder="1" applyAlignment="1">
      <alignment horizontal="center" vertical="center" wrapText="1"/>
    </xf>
    <xf numFmtId="0" fontId="41" fillId="20" borderId="19" xfId="1" applyFont="1" applyFill="1" applyBorder="1" applyAlignment="1">
      <alignment vertical="center"/>
    </xf>
    <xf numFmtId="0" fontId="39" fillId="21" borderId="16" xfId="1" applyFont="1" applyFill="1" applyBorder="1" applyAlignment="1">
      <alignment vertical="center"/>
    </xf>
    <xf numFmtId="171" fontId="41" fillId="12" borderId="15" xfId="4" applyNumberFormat="1" applyFont="1" applyFill="1" applyBorder="1" applyAlignment="1" applyProtection="1">
      <alignment horizontal="right" vertical="center"/>
    </xf>
    <xf numFmtId="4" fontId="20" fillId="4" borderId="0" xfId="4" applyNumberFormat="1" applyFont="1" applyFill="1" applyBorder="1" applyAlignment="1" applyProtection="1">
      <alignment horizontal="right" vertical="center"/>
      <protection locked="0"/>
    </xf>
    <xf numFmtId="4" fontId="20" fillId="10" borderId="10" xfId="4" applyNumberFormat="1" applyFont="1" applyFill="1" applyBorder="1" applyAlignment="1" applyProtection="1">
      <alignment horizontal="right" vertical="center"/>
      <protection locked="0"/>
    </xf>
    <xf numFmtId="4" fontId="20" fillId="5" borderId="0" xfId="4" applyNumberFormat="1" applyFont="1" applyFill="1" applyBorder="1" applyAlignment="1" applyProtection="1">
      <alignment horizontal="right" vertical="center"/>
    </xf>
    <xf numFmtId="4" fontId="20" fillId="5" borderId="17" xfId="4" applyNumberFormat="1" applyFont="1" applyFill="1" applyBorder="1" applyAlignment="1" applyProtection="1">
      <alignment horizontal="right" vertical="center"/>
    </xf>
    <xf numFmtId="0" fontId="0" fillId="4" borderId="0" xfId="0" applyFill="1" applyAlignment="1" applyProtection="1">
      <alignment vertical="center"/>
      <protection locked="0"/>
    </xf>
    <xf numFmtId="0" fontId="34" fillId="4" borderId="0" xfId="0" applyFont="1" applyFill="1" applyAlignment="1" applyProtection="1">
      <alignment vertical="center"/>
      <protection locked="0"/>
    </xf>
    <xf numFmtId="0" fontId="36" fillId="4" borderId="0" xfId="0" applyFont="1" applyFill="1" applyProtection="1">
      <protection locked="0"/>
    </xf>
    <xf numFmtId="0" fontId="0" fillId="4" borderId="0" xfId="0" applyFill="1" applyProtection="1">
      <protection locked="0"/>
    </xf>
    <xf numFmtId="37" fontId="11" fillId="4" borderId="0" xfId="2" applyNumberFormat="1" applyFont="1" applyFill="1" applyBorder="1" applyAlignment="1">
      <alignment horizontal="left" vertical="center"/>
      <protection locked="0"/>
    </xf>
    <xf numFmtId="37" fontId="11" fillId="4" borderId="0" xfId="2" applyNumberFormat="1" applyFont="1" applyFill="1" applyBorder="1" applyAlignment="1">
      <alignment vertical="center"/>
      <protection locked="0"/>
    </xf>
    <xf numFmtId="0" fontId="36" fillId="12" borderId="0" xfId="0" applyFont="1" applyFill="1" applyProtection="1">
      <protection locked="0"/>
    </xf>
    <xf numFmtId="3" fontId="45" fillId="4" borderId="10" xfId="1" applyNumberFormat="1" applyFont="1" applyFill="1" applyBorder="1" applyAlignment="1" applyProtection="1">
      <alignment vertical="center"/>
      <protection locked="0"/>
    </xf>
    <xf numFmtId="37" fontId="46" fillId="10" borderId="10" xfId="2" applyNumberFormat="1" applyFont="1" applyFill="1" applyBorder="1" applyAlignment="1">
      <alignment horizontal="center" vertical="center" wrapText="1"/>
      <protection locked="0"/>
    </xf>
    <xf numFmtId="1" fontId="11" fillId="4" borderId="10" xfId="1" applyNumberFormat="1" applyFont="1" applyFill="1" applyBorder="1" applyAlignment="1" applyProtection="1">
      <alignment horizontal="left" vertical="center" wrapText="1"/>
      <protection locked="0"/>
    </xf>
    <xf numFmtId="172" fontId="46" fillId="10" borderId="0" xfId="2" applyNumberFormat="1" applyFont="1" applyFill="1" applyBorder="1" applyAlignment="1">
      <alignment horizontal="center" vertical="center"/>
      <protection locked="0"/>
    </xf>
    <xf numFmtId="0" fontId="34" fillId="4" borderId="10" xfId="0" applyFont="1" applyFill="1" applyBorder="1" applyAlignment="1" applyProtection="1">
      <alignment vertical="center"/>
      <protection locked="0"/>
    </xf>
    <xf numFmtId="3" fontId="45" fillId="4" borderId="0" xfId="1" applyNumberFormat="1" applyFont="1" applyFill="1" applyAlignment="1" applyProtection="1">
      <alignment vertical="center"/>
      <protection locked="0"/>
    </xf>
    <xf numFmtId="0" fontId="16" fillId="6" borderId="1" xfId="1" applyFont="1" applyFill="1" applyBorder="1" applyAlignment="1" applyProtection="1">
      <alignment vertical="center"/>
      <protection locked="0"/>
    </xf>
    <xf numFmtId="0" fontId="16" fillId="6" borderId="1" xfId="1" applyFont="1" applyFill="1" applyBorder="1" applyAlignment="1" applyProtection="1">
      <alignment horizontal="center" vertical="center"/>
      <protection locked="0"/>
    </xf>
    <xf numFmtId="3" fontId="46" fillId="4" borderId="10" xfId="1" applyNumberFormat="1" applyFont="1" applyFill="1" applyBorder="1" applyAlignment="1" applyProtection="1">
      <alignment vertical="center"/>
      <protection locked="0"/>
    </xf>
    <xf numFmtId="3" fontId="46" fillId="10" borderId="10" xfId="2" applyNumberFormat="1" applyFont="1" applyFill="1" applyBorder="1" applyAlignment="1">
      <alignment horizontal="center" vertical="center"/>
      <protection locked="0"/>
    </xf>
    <xf numFmtId="37" fontId="11" fillId="4" borderId="10" xfId="2" applyNumberFormat="1" applyFont="1" applyFill="1" applyBorder="1" applyAlignment="1">
      <alignment horizontal="left" vertical="center"/>
      <protection locked="0"/>
    </xf>
    <xf numFmtId="1" fontId="11" fillId="4" borderId="10" xfId="1" applyNumberFormat="1" applyFont="1" applyFill="1" applyBorder="1" applyAlignment="1" applyProtection="1">
      <alignment vertical="center"/>
      <protection locked="0"/>
    </xf>
    <xf numFmtId="3" fontId="67" fillId="7" borderId="18" xfId="1" applyNumberFormat="1" applyFont="1" applyFill="1" applyBorder="1" applyAlignment="1" applyProtection="1">
      <alignment vertical="center"/>
      <protection locked="0"/>
    </xf>
    <xf numFmtId="0" fontId="87" fillId="7" borderId="21" xfId="1" applyFont="1" applyFill="1" applyBorder="1" applyAlignment="1" applyProtection="1">
      <alignment horizontal="center" vertical="center" wrapText="1"/>
      <protection locked="0"/>
    </xf>
    <xf numFmtId="37" fontId="11" fillId="7" borderId="18" xfId="2" applyNumberFormat="1" applyFont="1" applyFill="1" applyBorder="1" applyAlignment="1">
      <alignment vertical="center" wrapText="1"/>
      <protection locked="0"/>
    </xf>
    <xf numFmtId="3" fontId="67" fillId="4" borderId="17" xfId="1" applyNumberFormat="1" applyFont="1" applyFill="1" applyBorder="1" applyAlignment="1" applyProtection="1">
      <alignment vertical="center" wrapText="1"/>
      <protection locked="0"/>
    </xf>
    <xf numFmtId="49" fontId="46" fillId="10" borderId="20" xfId="2" applyNumberFormat="1" applyFont="1" applyFill="1" applyBorder="1" applyAlignment="1">
      <alignment horizontal="center" vertical="center"/>
      <protection locked="0"/>
    </xf>
    <xf numFmtId="0" fontId="87" fillId="7" borderId="18" xfId="1" applyFont="1" applyFill="1" applyBorder="1" applyAlignment="1" applyProtection="1">
      <alignment horizontal="center" vertical="center" wrapText="1"/>
      <protection locked="0"/>
    </xf>
    <xf numFmtId="49" fontId="46" fillId="10" borderId="17" xfId="2" applyNumberFormat="1" applyFont="1" applyFill="1" applyBorder="1" applyAlignment="1">
      <alignment horizontal="center" vertical="center"/>
      <protection locked="0"/>
    </xf>
    <xf numFmtId="0" fontId="15" fillId="7" borderId="3" xfId="1" applyFont="1" applyFill="1" applyBorder="1" applyAlignment="1" applyProtection="1">
      <alignment vertical="center"/>
      <protection locked="0"/>
    </xf>
    <xf numFmtId="37" fontId="16" fillId="7" borderId="3" xfId="1" applyNumberFormat="1" applyFont="1" applyFill="1" applyBorder="1" applyAlignment="1" applyProtection="1">
      <alignment horizontal="left" vertical="center"/>
      <protection locked="0"/>
    </xf>
    <xf numFmtId="3" fontId="11" fillId="7" borderId="0" xfId="2" applyNumberFormat="1" applyFont="1" applyFill="1" applyBorder="1" applyAlignment="1">
      <alignment horizontal="right" vertical="center"/>
      <protection locked="0"/>
    </xf>
    <xf numFmtId="37" fontId="16" fillId="7" borderId="0" xfId="1" applyNumberFormat="1" applyFont="1" applyFill="1" applyAlignment="1" applyProtection="1">
      <alignment vertical="center"/>
      <protection locked="0"/>
    </xf>
    <xf numFmtId="0" fontId="15" fillId="7" borderId="0" xfId="1" applyFont="1" applyFill="1" applyAlignment="1" applyProtection="1">
      <alignment vertical="center"/>
      <protection locked="0"/>
    </xf>
    <xf numFmtId="37" fontId="16" fillId="7" borderId="0" xfId="1" applyNumberFormat="1" applyFont="1" applyFill="1" applyAlignment="1" applyProtection="1">
      <alignment horizontal="left" vertical="center"/>
      <protection locked="0"/>
    </xf>
    <xf numFmtId="3" fontId="11" fillId="4" borderId="0" xfId="1" applyNumberFormat="1" applyFont="1" applyFill="1" applyAlignment="1" applyProtection="1">
      <alignment vertical="center"/>
      <protection locked="0"/>
    </xf>
    <xf numFmtId="37" fontId="11" fillId="4" borderId="0" xfId="2" applyNumberFormat="1" applyFont="1" applyFill="1" applyAlignment="1">
      <alignment horizontal="left" vertical="center"/>
      <protection locked="0"/>
    </xf>
    <xf numFmtId="1" fontId="11" fillId="4" borderId="0" xfId="1" applyNumberFormat="1" applyFont="1" applyFill="1" applyAlignment="1" applyProtection="1">
      <alignment vertical="center"/>
      <protection locked="0"/>
    </xf>
    <xf numFmtId="3" fontId="20" fillId="10" borderId="0" xfId="4" applyNumberFormat="1" applyFont="1" applyFill="1" applyBorder="1" applyAlignment="1" applyProtection="1">
      <alignment horizontal="right" vertical="center"/>
      <protection locked="0"/>
    </xf>
    <xf numFmtId="3" fontId="11" fillId="4" borderId="17" xfId="1" applyNumberFormat="1" applyFont="1" applyFill="1" applyBorder="1" applyAlignment="1" applyProtection="1">
      <alignment vertical="center"/>
      <protection locked="0"/>
    </xf>
    <xf numFmtId="37" fontId="11" fillId="4" borderId="17" xfId="2" applyNumberFormat="1" applyFont="1" applyFill="1" applyBorder="1" applyAlignment="1">
      <alignment horizontal="left" vertical="center"/>
      <protection locked="0"/>
    </xf>
    <xf numFmtId="49" fontId="7" fillId="10" borderId="17" xfId="2" applyNumberFormat="1" applyFont="1" applyFill="1" applyBorder="1" applyAlignment="1">
      <alignment horizontal="center" vertical="center"/>
      <protection locked="0"/>
    </xf>
    <xf numFmtId="3" fontId="11" fillId="4" borderId="17" xfId="2" applyNumberFormat="1" applyFont="1" applyFill="1" applyBorder="1" applyAlignment="1">
      <alignment horizontal="left" vertical="center"/>
      <protection locked="0"/>
    </xf>
    <xf numFmtId="3" fontId="11" fillId="4" borderId="17" xfId="2" applyNumberFormat="1" applyFont="1" applyFill="1" applyBorder="1" applyAlignment="1">
      <alignment horizontal="right" vertical="center"/>
      <protection locked="0"/>
    </xf>
    <xf numFmtId="3" fontId="11" fillId="4" borderId="6" xfId="1" applyNumberFormat="1" applyFont="1" applyFill="1" applyBorder="1" applyAlignment="1" applyProtection="1">
      <alignment vertical="center"/>
      <protection locked="0"/>
    </xf>
    <xf numFmtId="0" fontId="49" fillId="4" borderId="0" xfId="0" applyFont="1" applyFill="1" applyProtection="1">
      <protection locked="0"/>
    </xf>
    <xf numFmtId="0" fontId="16" fillId="7" borderId="5" xfId="1" applyFont="1" applyFill="1" applyBorder="1" applyAlignment="1" applyProtection="1">
      <alignment vertical="center"/>
      <protection locked="0"/>
    </xf>
    <xf numFmtId="0" fontId="16" fillId="7" borderId="5" xfId="1" applyFont="1" applyFill="1" applyBorder="1" applyAlignment="1" applyProtection="1">
      <alignment horizontal="center" vertical="center"/>
      <protection locked="0"/>
    </xf>
    <xf numFmtId="0" fontId="16" fillId="7" borderId="5" xfId="1" applyFont="1" applyFill="1" applyBorder="1" applyAlignment="1" applyProtection="1">
      <alignment horizontal="right" vertical="center"/>
      <protection locked="0"/>
    </xf>
    <xf numFmtId="0" fontId="16" fillId="7" borderId="5" xfId="1" applyFont="1" applyFill="1" applyBorder="1" applyAlignment="1" applyProtection="1">
      <alignment horizontal="left" vertical="center"/>
      <protection locked="0"/>
    </xf>
    <xf numFmtId="0" fontId="50" fillId="14" borderId="0" xfId="0" applyFont="1" applyFill="1" applyAlignment="1" applyProtection="1">
      <alignment horizontal="center"/>
      <protection locked="0"/>
    </xf>
    <xf numFmtId="0" fontId="50" fillId="13" borderId="0" xfId="0" applyFont="1" applyFill="1" applyAlignment="1" applyProtection="1">
      <alignment horizontal="center"/>
      <protection locked="0"/>
    </xf>
    <xf numFmtId="3" fontId="11" fillId="9" borderId="0" xfId="1" applyNumberFormat="1" applyFont="1" applyFill="1" applyAlignment="1" applyProtection="1">
      <alignment horizontal="left" vertical="center" wrapText="1"/>
      <protection locked="0"/>
    </xf>
    <xf numFmtId="3" fontId="11" fillId="9" borderId="0" xfId="1" applyNumberFormat="1" applyFont="1" applyFill="1" applyAlignment="1" applyProtection="1">
      <alignment vertical="center"/>
      <protection locked="0"/>
    </xf>
    <xf numFmtId="0" fontId="50" fillId="14" borderId="0" xfId="0" applyFont="1" applyFill="1" applyProtection="1">
      <protection locked="0"/>
    </xf>
    <xf numFmtId="0" fontId="50" fillId="13" borderId="0" xfId="0" applyFont="1" applyFill="1" applyProtection="1">
      <protection locked="0"/>
    </xf>
    <xf numFmtId="3" fontId="11" fillId="9" borderId="17" xfId="1" applyNumberFormat="1" applyFont="1" applyFill="1" applyBorder="1" applyAlignment="1" applyProtection="1">
      <alignment horizontal="left" vertical="center" wrapText="1"/>
      <protection locked="0"/>
    </xf>
    <xf numFmtId="0" fontId="20" fillId="9" borderId="17" xfId="1" applyFont="1" applyFill="1" applyBorder="1" applyAlignment="1" applyProtection="1">
      <alignment horizontal="left" vertical="center" wrapText="1"/>
      <protection locked="0"/>
    </xf>
    <xf numFmtId="3" fontId="11" fillId="4" borderId="0" xfId="1" applyNumberFormat="1" applyFont="1" applyFill="1" applyAlignment="1" applyProtection="1">
      <alignment horizontal="left" vertical="center" wrapText="1"/>
      <protection locked="0"/>
    </xf>
    <xf numFmtId="0" fontId="20" fillId="4" borderId="0" xfId="1" applyFont="1" applyFill="1" applyAlignment="1" applyProtection="1">
      <alignment horizontal="left" vertical="center" wrapText="1"/>
      <protection locked="0"/>
    </xf>
    <xf numFmtId="0" fontId="27" fillId="4" borderId="0" xfId="0" applyFont="1" applyFill="1" applyAlignment="1" applyProtection="1">
      <alignment vertical="center"/>
      <protection locked="0"/>
    </xf>
    <xf numFmtId="0" fontId="14" fillId="8" borderId="0" xfId="1" applyFont="1" applyFill="1" applyAlignment="1" applyProtection="1">
      <alignment vertical="center"/>
      <protection locked="0"/>
    </xf>
    <xf numFmtId="0" fontId="14" fillId="8" borderId="0" xfId="1" applyFont="1" applyFill="1" applyAlignment="1" applyProtection="1">
      <alignment horizontal="left" vertical="center"/>
      <protection locked="0"/>
    </xf>
    <xf numFmtId="0" fontId="14" fillId="8" borderId="0" xfId="1" applyFont="1" applyFill="1" applyAlignment="1" applyProtection="1">
      <alignment horizontal="right" vertical="center"/>
      <protection locked="0"/>
    </xf>
    <xf numFmtId="0" fontId="20" fillId="4" borderId="0" xfId="0" applyFont="1" applyFill="1" applyProtection="1">
      <protection locked="0"/>
    </xf>
    <xf numFmtId="0" fontId="27" fillId="4" borderId="0" xfId="0" applyFont="1" applyFill="1" applyProtection="1">
      <protection locked="0"/>
    </xf>
    <xf numFmtId="3" fontId="11" fillId="4" borderId="0" xfId="2" applyNumberFormat="1" applyFont="1" applyFill="1" applyBorder="1" applyAlignment="1">
      <alignment vertical="center"/>
      <protection locked="0"/>
    </xf>
    <xf numFmtId="4" fontId="14" fillId="8" borderId="0" xfId="1" applyNumberFormat="1" applyFont="1" applyFill="1" applyAlignment="1" applyProtection="1">
      <alignment horizontal="right" vertical="center"/>
      <protection locked="0"/>
    </xf>
    <xf numFmtId="3" fontId="11" fillId="4" borderId="10" xfId="1" applyNumberFormat="1" applyFont="1" applyFill="1" applyBorder="1" applyAlignment="1" applyProtection="1">
      <alignment horizontal="left" vertical="center" wrapText="1"/>
      <protection locked="0"/>
    </xf>
    <xf numFmtId="3" fontId="11" fillId="4" borderId="10" xfId="1" applyNumberFormat="1" applyFont="1" applyFill="1" applyBorder="1" applyAlignment="1" applyProtection="1">
      <alignment vertical="center"/>
      <protection locked="0"/>
    </xf>
    <xf numFmtId="3" fontId="24" fillId="4" borderId="10" xfId="2" applyNumberFormat="1" applyFont="1" applyFill="1" applyBorder="1" applyAlignment="1">
      <alignment vertical="center" wrapText="1"/>
      <protection locked="0"/>
    </xf>
    <xf numFmtId="0" fontId="36" fillId="4" borderId="0" xfId="0" applyFont="1" applyFill="1" applyAlignment="1" applyProtection="1">
      <alignment wrapText="1"/>
      <protection locked="0"/>
    </xf>
    <xf numFmtId="3" fontId="11" fillId="9" borderId="0" xfId="2" applyNumberFormat="1" applyFont="1" applyFill="1" applyBorder="1" applyAlignment="1">
      <alignment vertical="center"/>
      <protection locked="0"/>
    </xf>
    <xf numFmtId="3" fontId="11" fillId="9" borderId="17" xfId="1" applyNumberFormat="1" applyFont="1" applyFill="1" applyBorder="1" applyAlignment="1" applyProtection="1">
      <alignment vertical="center"/>
      <protection locked="0"/>
    </xf>
    <xf numFmtId="3" fontId="11" fillId="9" borderId="17" xfId="2" applyNumberFormat="1" applyFont="1" applyFill="1" applyBorder="1" applyAlignment="1">
      <alignment vertical="center"/>
      <protection locked="0"/>
    </xf>
    <xf numFmtId="169" fontId="20" fillId="4" borderId="0" xfId="4" applyNumberFormat="1" applyFont="1" applyFill="1" applyBorder="1" applyAlignment="1" applyProtection="1">
      <alignment horizontal="right" vertical="center"/>
      <protection locked="0"/>
    </xf>
    <xf numFmtId="0" fontId="33" fillId="2" borderId="0" xfId="1" applyFont="1" applyFill="1" applyAlignment="1">
      <alignment vertical="center" wrapText="1"/>
    </xf>
    <xf numFmtId="0" fontId="36" fillId="4" borderId="0" xfId="0" applyFont="1" applyFill="1" applyAlignment="1">
      <alignment vertical="center" wrapText="1"/>
    </xf>
    <xf numFmtId="3" fontId="33" fillId="4" borderId="0" xfId="1" applyNumberFormat="1" applyFont="1" applyFill="1" applyAlignment="1">
      <alignment vertical="center"/>
    </xf>
    <xf numFmtId="37" fontId="11" fillId="4" borderId="0" xfId="2" applyNumberFormat="1" applyFont="1" applyFill="1" applyBorder="1" applyAlignment="1" applyProtection="1">
      <alignment horizontal="left" vertical="center"/>
    </xf>
    <xf numFmtId="37" fontId="11" fillId="4" borderId="0" xfId="2" applyNumberFormat="1" applyFont="1" applyFill="1" applyBorder="1" applyAlignment="1" applyProtection="1">
      <alignment vertical="center"/>
    </xf>
    <xf numFmtId="0" fontId="34" fillId="4" borderId="0" xfId="0" applyFont="1" applyFill="1" applyAlignment="1">
      <alignment vertical="center" wrapText="1"/>
    </xf>
    <xf numFmtId="0" fontId="16" fillId="6" borderId="1" xfId="1" applyFont="1" applyFill="1" applyBorder="1" applyAlignment="1">
      <alignment vertical="center"/>
    </xf>
    <xf numFmtId="0" fontId="16" fillId="6" borderId="1" xfId="1" applyFont="1" applyFill="1" applyBorder="1" applyAlignment="1">
      <alignment horizontal="center" vertical="center"/>
    </xf>
    <xf numFmtId="3" fontId="11" fillId="4" borderId="0" xfId="1" applyNumberFormat="1" applyFont="1" applyFill="1" applyAlignment="1">
      <alignment vertical="center"/>
    </xf>
    <xf numFmtId="37" fontId="11" fillId="5" borderId="0" xfId="2" applyNumberFormat="1" applyFont="1" applyFill="1" applyBorder="1" applyAlignment="1" applyProtection="1">
      <alignment horizontal="left" vertical="center"/>
    </xf>
    <xf numFmtId="172" fontId="11" fillId="5" borderId="0" xfId="2" applyNumberFormat="1" applyFont="1" applyFill="1" applyBorder="1" applyAlignment="1" applyProtection="1">
      <alignment horizontal="right" vertical="center"/>
    </xf>
    <xf numFmtId="1" fontId="11" fillId="4" borderId="0" xfId="1" applyNumberFormat="1" applyFont="1" applyFill="1" applyAlignment="1">
      <alignment vertical="center"/>
    </xf>
    <xf numFmtId="3" fontId="11" fillId="4" borderId="6" xfId="1" applyNumberFormat="1" applyFont="1" applyFill="1" applyBorder="1" applyAlignment="1">
      <alignment vertical="center"/>
    </xf>
    <xf numFmtId="37" fontId="11" fillId="5" borderId="6" xfId="2" applyNumberFormat="1" applyFont="1" applyFill="1" applyBorder="1" applyAlignment="1" applyProtection="1">
      <alignment horizontal="left" vertical="center"/>
    </xf>
    <xf numFmtId="172" fontId="11" fillId="5" borderId="6" xfId="2" applyNumberFormat="1" applyFont="1" applyFill="1" applyBorder="1" applyAlignment="1" applyProtection="1">
      <alignment horizontal="right" vertical="center"/>
    </xf>
    <xf numFmtId="1" fontId="11" fillId="4" borderId="6" xfId="1" applyNumberFormat="1" applyFont="1" applyFill="1" applyBorder="1" applyAlignment="1">
      <alignment vertical="center"/>
    </xf>
    <xf numFmtId="0" fontId="15" fillId="6" borderId="1" xfId="1" applyFont="1" applyFill="1" applyBorder="1" applyAlignment="1">
      <alignment vertical="center"/>
    </xf>
    <xf numFmtId="0" fontId="16" fillId="6" borderId="1" xfId="1" applyFont="1" applyFill="1" applyBorder="1" applyAlignment="1">
      <alignment horizontal="right" vertical="center"/>
    </xf>
    <xf numFmtId="0" fontId="16" fillId="7" borderId="5" xfId="1" applyFont="1" applyFill="1" applyBorder="1" applyAlignment="1">
      <alignment vertical="center"/>
    </xf>
    <xf numFmtId="0" fontId="16" fillId="7" borderId="5" xfId="1" applyFont="1" applyFill="1" applyBorder="1" applyAlignment="1">
      <alignment horizontal="center" vertical="center"/>
    </xf>
    <xf numFmtId="0" fontId="16" fillId="7" borderId="5" xfId="1" applyFont="1" applyFill="1" applyBorder="1" applyAlignment="1">
      <alignment horizontal="right" vertical="center"/>
    </xf>
    <xf numFmtId="0" fontId="16" fillId="7" borderId="5" xfId="1" applyFont="1" applyFill="1" applyBorder="1" applyAlignment="1">
      <alignment horizontal="left" vertical="center"/>
    </xf>
    <xf numFmtId="3" fontId="11" fillId="9" borderId="0" xfId="1" applyNumberFormat="1" applyFont="1" applyFill="1" applyAlignment="1">
      <alignment horizontal="left" vertical="center" wrapText="1"/>
    </xf>
    <xf numFmtId="3" fontId="11" fillId="9" borderId="0" xfId="1" applyNumberFormat="1" applyFont="1" applyFill="1" applyAlignment="1">
      <alignment vertical="center"/>
    </xf>
    <xf numFmtId="3" fontId="20" fillId="9" borderId="0" xfId="4" applyNumberFormat="1" applyFont="1" applyFill="1" applyBorder="1" applyAlignment="1" applyProtection="1">
      <alignment horizontal="center" vertical="center"/>
    </xf>
    <xf numFmtId="0" fontId="20" fillId="9" borderId="0" xfId="1" applyFont="1" applyFill="1" applyAlignment="1">
      <alignment horizontal="left" vertical="center" wrapText="1"/>
    </xf>
    <xf numFmtId="3" fontId="11" fillId="9" borderId="17" xfId="1" applyNumberFormat="1" applyFont="1" applyFill="1" applyBorder="1" applyAlignment="1">
      <alignment horizontal="left" vertical="center" wrapText="1"/>
    </xf>
    <xf numFmtId="3" fontId="20" fillId="9" borderId="17" xfId="4" applyNumberFormat="1" applyFont="1" applyFill="1" applyBorder="1" applyAlignment="1" applyProtection="1">
      <alignment horizontal="center" vertical="center"/>
    </xf>
    <xf numFmtId="0" fontId="20" fillId="9" borderId="17" xfId="1" applyFont="1" applyFill="1" applyBorder="1" applyAlignment="1">
      <alignment horizontal="left" vertical="center" wrapText="1"/>
    </xf>
    <xf numFmtId="0" fontId="36" fillId="9" borderId="25" xfId="0" applyFont="1" applyFill="1" applyBorder="1" applyAlignment="1">
      <alignment vertical="center"/>
    </xf>
    <xf numFmtId="0" fontId="34" fillId="9" borderId="25" xfId="0" applyFont="1" applyFill="1" applyBorder="1" applyAlignment="1">
      <alignment vertical="center"/>
    </xf>
    <xf numFmtId="0" fontId="36" fillId="9" borderId="26" xfId="0" applyFont="1" applyFill="1" applyBorder="1" applyAlignment="1">
      <alignment vertical="center"/>
    </xf>
    <xf numFmtId="0" fontId="34" fillId="9" borderId="26" xfId="0" applyFont="1" applyFill="1" applyBorder="1" applyAlignment="1">
      <alignment vertical="center"/>
    </xf>
    <xf numFmtId="0" fontId="34" fillId="4" borderId="0" xfId="0" applyFont="1" applyFill="1"/>
    <xf numFmtId="0" fontId="0" fillId="4" borderId="0" xfId="0" applyFill="1"/>
    <xf numFmtId="0" fontId="34" fillId="0" borderId="0" xfId="0" applyFont="1"/>
    <xf numFmtId="0" fontId="35" fillId="4" borderId="0" xfId="0" applyFont="1" applyFill="1"/>
    <xf numFmtId="0" fontId="27" fillId="4" borderId="0" xfId="0" applyFont="1" applyFill="1"/>
    <xf numFmtId="0" fontId="53" fillId="2" borderId="0" xfId="1" applyFont="1" applyFill="1"/>
    <xf numFmtId="0" fontId="53" fillId="12" borderId="0" xfId="1" applyFont="1" applyFill="1"/>
    <xf numFmtId="0" fontId="53" fillId="12" borderId="0" xfId="1" applyFont="1" applyFill="1" applyAlignment="1">
      <alignment horizontal="center"/>
    </xf>
    <xf numFmtId="0" fontId="43" fillId="12" borderId="0" xfId="1" applyFont="1" applyFill="1"/>
    <xf numFmtId="0" fontId="53" fillId="2" borderId="28" xfId="1" applyFont="1" applyFill="1" applyBorder="1"/>
    <xf numFmtId="0" fontId="53" fillId="2" borderId="12" xfId="1" applyFont="1" applyFill="1" applyBorder="1" applyAlignment="1">
      <alignment horizontal="center" vertical="center" wrapText="1"/>
    </xf>
    <xf numFmtId="9" fontId="53" fillId="2" borderId="13" xfId="1" applyNumberFormat="1" applyFont="1" applyFill="1" applyBorder="1" applyAlignment="1">
      <alignment horizontal="center" vertical="center"/>
    </xf>
    <xf numFmtId="0" fontId="53" fillId="2" borderId="11" xfId="1" applyFont="1" applyFill="1" applyBorder="1" applyAlignment="1">
      <alignment horizontal="center" vertical="center" wrapText="1"/>
    </xf>
    <xf numFmtId="0" fontId="72" fillId="2" borderId="0" xfId="1" applyFont="1" applyFill="1" applyAlignment="1">
      <alignment horizontal="center"/>
    </xf>
    <xf numFmtId="0" fontId="54" fillId="14" borderId="0" xfId="0" applyFont="1" applyFill="1" applyAlignment="1">
      <alignment horizontal="center"/>
    </xf>
    <xf numFmtId="0" fontId="54" fillId="13" borderId="0" xfId="0" applyFont="1" applyFill="1" applyAlignment="1">
      <alignment horizontal="center"/>
    </xf>
    <xf numFmtId="37" fontId="54" fillId="8" borderId="0" xfId="0" applyNumberFormat="1" applyFont="1" applyFill="1" applyAlignment="1">
      <alignment horizontal="center"/>
    </xf>
    <xf numFmtId="169" fontId="55" fillId="14" borderId="0" xfId="0" applyNumberFormat="1" applyFont="1" applyFill="1"/>
    <xf numFmtId="169" fontId="55" fillId="13" borderId="0" xfId="0" applyNumberFormat="1" applyFont="1" applyFill="1"/>
    <xf numFmtId="169" fontId="55" fillId="8" borderId="0" xfId="0" applyNumberFormat="1" applyFont="1" applyFill="1"/>
    <xf numFmtId="169" fontId="55" fillId="14" borderId="26" xfId="0" applyNumberFormat="1" applyFont="1" applyFill="1" applyBorder="1"/>
    <xf numFmtId="169" fontId="55" fillId="13" borderId="26" xfId="0" applyNumberFormat="1" applyFont="1" applyFill="1" applyBorder="1"/>
    <xf numFmtId="169" fontId="55" fillId="8" borderId="26" xfId="0" applyNumberFormat="1" applyFont="1" applyFill="1" applyBorder="1"/>
    <xf numFmtId="0" fontId="53" fillId="15" borderId="0" xfId="1" applyFont="1" applyFill="1"/>
    <xf numFmtId="0" fontId="53" fillId="4" borderId="0" xfId="1" applyFont="1" applyFill="1"/>
    <xf numFmtId="169" fontId="63" fillId="14" borderId="0" xfId="0" applyNumberFormat="1" applyFont="1" applyFill="1"/>
    <xf numFmtId="169" fontId="63" fillId="13" borderId="0" xfId="0" applyNumberFormat="1" applyFont="1" applyFill="1"/>
    <xf numFmtId="169" fontId="63" fillId="8" borderId="0" xfId="0" applyNumberFormat="1" applyFont="1" applyFill="1"/>
    <xf numFmtId="169" fontId="63" fillId="14" borderId="26" xfId="0" applyNumberFormat="1" applyFont="1" applyFill="1" applyBorder="1"/>
    <xf numFmtId="169" fontId="63" fillId="13" borderId="26" xfId="0" applyNumberFormat="1" applyFont="1" applyFill="1" applyBorder="1"/>
    <xf numFmtId="169" fontId="63" fillId="8" borderId="26" xfId="0" applyNumberFormat="1" applyFont="1" applyFill="1" applyBorder="1"/>
    <xf numFmtId="43" fontId="55" fillId="14" borderId="0" xfId="18" applyFont="1" applyFill="1" applyProtection="1"/>
    <xf numFmtId="43" fontId="55" fillId="13" borderId="0" xfId="18" applyFont="1" applyFill="1" applyProtection="1"/>
    <xf numFmtId="169" fontId="63" fillId="14" borderId="29" xfId="0" applyNumberFormat="1" applyFont="1" applyFill="1" applyBorder="1"/>
    <xf numFmtId="169" fontId="63" fillId="13" borderId="29" xfId="0" applyNumberFormat="1" applyFont="1" applyFill="1" applyBorder="1"/>
    <xf numFmtId="169" fontId="63" fillId="8" borderId="29" xfId="0" applyNumberFormat="1" applyFont="1" applyFill="1" applyBorder="1"/>
    <xf numFmtId="0" fontId="56" fillId="2" borderId="0" xfId="1" applyFont="1" applyFill="1"/>
    <xf numFmtId="0" fontId="57" fillId="2" borderId="0" xfId="1" applyFont="1" applyFill="1"/>
    <xf numFmtId="0" fontId="57" fillId="15" borderId="0" xfId="1" applyFont="1" applyFill="1"/>
    <xf numFmtId="0" fontId="19" fillId="4" borderId="0" xfId="1" applyFont="1" applyFill="1" applyAlignment="1">
      <alignment vertical="center"/>
    </xf>
    <xf numFmtId="0" fontId="57" fillId="4" borderId="0" xfId="1" applyFont="1" applyFill="1"/>
    <xf numFmtId="0" fontId="56" fillId="4" borderId="0" xfId="1" applyFont="1" applyFill="1"/>
    <xf numFmtId="0" fontId="43" fillId="4" borderId="0" xfId="1" applyFont="1" applyFill="1"/>
    <xf numFmtId="0" fontId="53" fillId="4" borderId="0" xfId="1" applyFont="1" applyFill="1" applyAlignment="1">
      <alignment vertical="center"/>
    </xf>
    <xf numFmtId="166" fontId="19" fillId="2" borderId="0" xfId="1" applyNumberFormat="1" applyFont="1" applyFill="1" applyAlignment="1">
      <alignment vertical="center"/>
    </xf>
    <xf numFmtId="0" fontId="64" fillId="15" borderId="0" xfId="1" applyFont="1" applyFill="1"/>
    <xf numFmtId="0" fontId="64" fillId="15" borderId="0" xfId="1" applyFont="1" applyFill="1" applyAlignment="1">
      <alignment vertical="center" wrapText="1"/>
    </xf>
    <xf numFmtId="168" fontId="1" fillId="2" borderId="0" xfId="1" applyNumberFormat="1" applyFont="1" applyFill="1" applyAlignment="1">
      <alignment vertical="center"/>
    </xf>
    <xf numFmtId="0" fontId="62" fillId="15" borderId="0" xfId="1" applyFont="1" applyFill="1"/>
    <xf numFmtId="169" fontId="63" fillId="14" borderId="20" xfId="0" applyNumberFormat="1" applyFont="1" applyFill="1" applyBorder="1"/>
    <xf numFmtId="169" fontId="63" fillId="13" borderId="20" xfId="0" applyNumberFormat="1" applyFont="1" applyFill="1" applyBorder="1"/>
    <xf numFmtId="169" fontId="63" fillId="8" borderId="20" xfId="0" applyNumberFormat="1" applyFont="1" applyFill="1" applyBorder="1"/>
    <xf numFmtId="174" fontId="55" fillId="14" borderId="0" xfId="0" applyNumberFormat="1" applyFont="1" applyFill="1"/>
    <xf numFmtId="174" fontId="55" fillId="13" borderId="0" xfId="0" applyNumberFormat="1" applyFont="1" applyFill="1"/>
    <xf numFmtId="174" fontId="55" fillId="8" borderId="0" xfId="0" applyNumberFormat="1" applyFont="1" applyFill="1"/>
    <xf numFmtId="169" fontId="55" fillId="14" borderId="24" xfId="0" applyNumberFormat="1" applyFont="1" applyFill="1" applyBorder="1"/>
    <xf numFmtId="169" fontId="55" fillId="13" borderId="24" xfId="0" applyNumberFormat="1" applyFont="1" applyFill="1" applyBorder="1"/>
    <xf numFmtId="169" fontId="55" fillId="8" borderId="24" xfId="0" applyNumberFormat="1" applyFont="1" applyFill="1" applyBorder="1"/>
    <xf numFmtId="0" fontId="53" fillId="15" borderId="0" xfId="17" applyFont="1" applyFill="1"/>
    <xf numFmtId="0" fontId="43" fillId="19" borderId="0" xfId="1" applyFont="1" applyFill="1"/>
    <xf numFmtId="0" fontId="62" fillId="15" borderId="0" xfId="17" applyFont="1" applyFill="1"/>
    <xf numFmtId="169" fontId="55" fillId="14" borderId="32" xfId="0" applyNumberFormat="1" applyFont="1" applyFill="1" applyBorder="1"/>
    <xf numFmtId="169" fontId="55" fillId="13" borderId="32" xfId="0" applyNumberFormat="1" applyFont="1" applyFill="1" applyBorder="1"/>
    <xf numFmtId="169" fontId="55" fillId="8" borderId="32" xfId="0" applyNumberFormat="1" applyFont="1" applyFill="1" applyBorder="1"/>
    <xf numFmtId="169" fontId="55" fillId="14" borderId="28" xfId="0" applyNumberFormat="1" applyFont="1" applyFill="1" applyBorder="1"/>
    <xf numFmtId="169" fontId="55" fillId="13" borderId="28" xfId="0" applyNumberFormat="1" applyFont="1" applyFill="1" applyBorder="1"/>
    <xf numFmtId="169" fontId="55" fillId="8" borderId="28" xfId="0" applyNumberFormat="1" applyFont="1" applyFill="1" applyBorder="1"/>
    <xf numFmtId="0" fontId="62" fillId="4" borderId="0" xfId="1" applyFont="1" applyFill="1"/>
    <xf numFmtId="0" fontId="53" fillId="2" borderId="27" xfId="1" applyFont="1" applyFill="1" applyBorder="1" applyAlignment="1">
      <alignment horizontal="center" wrapText="1"/>
    </xf>
    <xf numFmtId="9" fontId="53" fillId="2" borderId="13" xfId="1" applyNumberFormat="1" applyFont="1" applyFill="1" applyBorder="1"/>
    <xf numFmtId="0" fontId="53" fillId="2" borderId="27" xfId="1" applyFont="1" applyFill="1" applyBorder="1" applyAlignment="1">
      <alignment horizontal="center"/>
    </xf>
    <xf numFmtId="9" fontId="53" fillId="2" borderId="13" xfId="1" applyNumberFormat="1" applyFont="1" applyFill="1" applyBorder="1" applyAlignment="1">
      <alignment horizontal="center"/>
    </xf>
    <xf numFmtId="169" fontId="53" fillId="2" borderId="26" xfId="1" applyNumberFormat="1" applyFont="1" applyFill="1" applyBorder="1"/>
    <xf numFmtId="169" fontId="53" fillId="2" borderId="0" xfId="1" applyNumberFormat="1" applyFont="1" applyFill="1"/>
    <xf numFmtId="0" fontId="43" fillId="2" borderId="0" xfId="1" applyFont="1" applyFill="1" applyAlignment="1">
      <alignment horizontal="center"/>
    </xf>
    <xf numFmtId="0" fontId="1" fillId="2" borderId="0" xfId="1" applyFont="1" applyFill="1"/>
    <xf numFmtId="169" fontId="53" fillId="2" borderId="25" xfId="1" applyNumberFormat="1" applyFont="1" applyFill="1" applyBorder="1"/>
    <xf numFmtId="169" fontId="62" fillId="2" borderId="26" xfId="1" applyNumberFormat="1" applyFont="1" applyFill="1" applyBorder="1"/>
    <xf numFmtId="0" fontId="55" fillId="14" borderId="0" xfId="0" applyFont="1" applyFill="1"/>
    <xf numFmtId="0" fontId="55" fillId="13" borderId="0" xfId="0" applyFont="1" applyFill="1"/>
    <xf numFmtId="9" fontId="53" fillId="2" borderId="14" xfId="1" applyNumberFormat="1" applyFont="1" applyFill="1" applyBorder="1"/>
    <xf numFmtId="0" fontId="55" fillId="4" borderId="0" xfId="0" applyFont="1" applyFill="1"/>
    <xf numFmtId="0" fontId="55" fillId="15" borderId="0" xfId="0" applyFont="1" applyFill="1"/>
    <xf numFmtId="169" fontId="55" fillId="4" borderId="0" xfId="0" applyNumberFormat="1" applyFont="1" applyFill="1"/>
    <xf numFmtId="169" fontId="58" fillId="8" borderId="0" xfId="1" applyNumberFormat="1" applyFont="1" applyFill="1"/>
    <xf numFmtId="169" fontId="43" fillId="2" borderId="0" xfId="1" applyNumberFormat="1" applyFont="1" applyFill="1"/>
    <xf numFmtId="0" fontId="22" fillId="2" borderId="0" xfId="1" applyFont="1" applyFill="1" applyAlignment="1">
      <alignment vertical="center"/>
    </xf>
    <xf numFmtId="0" fontId="13" fillId="6" borderId="1" xfId="1" applyFont="1" applyFill="1" applyBorder="1" applyAlignment="1">
      <alignment vertical="center"/>
    </xf>
    <xf numFmtId="0" fontId="6" fillId="2" borderId="15" xfId="1" applyFont="1" applyFill="1" applyBorder="1" applyAlignment="1">
      <alignment horizontal="left" vertical="center"/>
    </xf>
    <xf numFmtId="49" fontId="11" fillId="5" borderId="15" xfId="2" applyNumberFormat="1" applyFont="1" applyFill="1" applyBorder="1" applyAlignment="1" applyProtection="1">
      <alignment horizontal="center" vertical="center"/>
    </xf>
    <xf numFmtId="0" fontId="6" fillId="2" borderId="17" xfId="1" applyFont="1" applyFill="1" applyBorder="1" applyAlignment="1">
      <alignment horizontal="left" vertical="center"/>
    </xf>
    <xf numFmtId="49" fontId="11" fillId="5" borderId="0" xfId="2" applyNumberFormat="1" applyFont="1" applyFill="1" applyBorder="1" applyAlignment="1" applyProtection="1">
      <alignment horizontal="center" vertical="center"/>
    </xf>
    <xf numFmtId="49" fontId="11" fillId="5" borderId="0" xfId="2" applyNumberFormat="1" applyFont="1" applyFill="1" applyAlignment="1" applyProtection="1">
      <alignment horizontal="center" vertical="center"/>
    </xf>
    <xf numFmtId="3" fontId="42" fillId="2" borderId="0" xfId="1" applyNumberFormat="1" applyFont="1" applyFill="1" applyAlignment="1">
      <alignment vertical="center"/>
    </xf>
    <xf numFmtId="3" fontId="20" fillId="4" borderId="17" xfId="1" applyNumberFormat="1" applyFont="1" applyFill="1" applyBorder="1" applyAlignment="1">
      <alignment horizontal="left" vertical="center" wrapText="1"/>
    </xf>
    <xf numFmtId="3" fontId="42" fillId="4" borderId="0" xfId="1" applyNumberFormat="1" applyFont="1" applyFill="1" applyAlignment="1">
      <alignment vertical="center" wrapText="1"/>
    </xf>
    <xf numFmtId="3" fontId="42" fillId="4" borderId="0" xfId="1" applyNumberFormat="1" applyFont="1" applyFill="1" applyAlignment="1">
      <alignment vertical="center"/>
    </xf>
    <xf numFmtId="49" fontId="11" fillId="5" borderId="17" xfId="2" applyNumberFormat="1" applyFont="1" applyFill="1" applyBorder="1" applyAlignment="1" applyProtection="1">
      <alignment horizontal="center" vertical="center"/>
    </xf>
    <xf numFmtId="49" fontId="11" fillId="5" borderId="6" xfId="2" applyNumberFormat="1" applyFont="1" applyFill="1" applyBorder="1" applyAlignment="1" applyProtection="1">
      <alignment horizontal="center" vertical="center"/>
    </xf>
    <xf numFmtId="0" fontId="29" fillId="2" borderId="0" xfId="1" applyFont="1" applyFill="1" applyAlignment="1">
      <alignment vertical="center"/>
    </xf>
    <xf numFmtId="0" fontId="4" fillId="2" borderId="0" xfId="1" applyFill="1" applyAlignment="1">
      <alignment horizontal="right" vertical="center"/>
    </xf>
    <xf numFmtId="0" fontId="30" fillId="12" borderId="12" xfId="1" applyFont="1" applyFill="1" applyBorder="1" applyAlignment="1">
      <alignment vertical="center"/>
    </xf>
    <xf numFmtId="0" fontId="30" fillId="12" borderId="14" xfId="1" applyFont="1" applyFill="1" applyBorder="1" applyAlignment="1">
      <alignment horizontal="center" vertical="center"/>
    </xf>
    <xf numFmtId="0" fontId="30" fillId="12" borderId="11" xfId="1" applyFont="1" applyFill="1" applyBorder="1" applyAlignment="1">
      <alignment horizontal="center" vertical="center"/>
    </xf>
    <xf numFmtId="0" fontId="17" fillId="2" borderId="12" xfId="1" applyFont="1" applyFill="1" applyBorder="1" applyAlignment="1">
      <alignment vertical="center"/>
    </xf>
    <xf numFmtId="0" fontId="17" fillId="2" borderId="11" xfId="1" applyFont="1" applyFill="1" applyBorder="1" applyAlignment="1">
      <alignment horizontal="center" vertical="center"/>
    </xf>
    <xf numFmtId="0" fontId="17" fillId="2" borderId="14" xfId="1" applyFont="1" applyFill="1" applyBorder="1" applyAlignment="1">
      <alignment horizontal="center" vertical="center"/>
    </xf>
    <xf numFmtId="0" fontId="61" fillId="4" borderId="11" xfId="1" applyFont="1" applyFill="1" applyBorder="1" applyAlignment="1">
      <alignment vertical="center"/>
    </xf>
    <xf numFmtId="0" fontId="61" fillId="4" borderId="11" xfId="1" applyFont="1" applyFill="1" applyBorder="1" applyAlignment="1">
      <alignment horizontal="center" vertical="center"/>
    </xf>
    <xf numFmtId="0" fontId="17" fillId="7" borderId="12" xfId="1" applyFont="1" applyFill="1" applyBorder="1" applyAlignment="1">
      <alignment vertical="center"/>
    </xf>
    <xf numFmtId="0" fontId="30" fillId="7" borderId="14" xfId="1" applyFont="1" applyFill="1" applyBorder="1" applyAlignment="1">
      <alignment horizontal="center" vertical="center"/>
    </xf>
    <xf numFmtId="0" fontId="30" fillId="7" borderId="12" xfId="1" applyFont="1" applyFill="1" applyBorder="1" applyAlignment="1">
      <alignment vertical="center"/>
    </xf>
    <xf numFmtId="0" fontId="30" fillId="7" borderId="11" xfId="1" applyFont="1" applyFill="1" applyBorder="1" applyAlignment="1">
      <alignment horizontal="center" vertical="center"/>
    </xf>
    <xf numFmtId="0" fontId="30" fillId="4" borderId="11" xfId="1" applyFont="1" applyFill="1" applyBorder="1" applyAlignment="1">
      <alignment vertical="center"/>
    </xf>
    <xf numFmtId="0" fontId="30" fillId="4" borderId="11" xfId="1" applyFont="1" applyFill="1" applyBorder="1" applyAlignment="1">
      <alignment horizontal="center" vertical="center"/>
    </xf>
    <xf numFmtId="4" fontId="14" fillId="5" borderId="20" xfId="1" applyNumberFormat="1" applyFont="1" applyFill="1" applyBorder="1" applyAlignment="1">
      <alignment horizontal="right" vertical="center" wrapText="1"/>
    </xf>
    <xf numFmtId="4" fontId="14" fillId="5" borderId="18" xfId="1" applyNumberFormat="1" applyFont="1" applyFill="1" applyBorder="1" applyAlignment="1">
      <alignment horizontal="right" vertical="center" wrapText="1"/>
    </xf>
    <xf numFmtId="0" fontId="37" fillId="2" borderId="0" xfId="1" applyFont="1" applyFill="1" applyAlignment="1">
      <alignment vertical="center"/>
    </xf>
    <xf numFmtId="0" fontId="38" fillId="2" borderId="0" xfId="1" applyFont="1" applyFill="1" applyAlignment="1">
      <alignment vertical="center"/>
    </xf>
    <xf numFmtId="0" fontId="37" fillId="2" borderId="0" xfId="1" applyFont="1" applyFill="1" applyAlignment="1">
      <alignment horizontal="left" vertical="center"/>
    </xf>
    <xf numFmtId="0" fontId="37" fillId="2" borderId="0" xfId="1" applyFont="1" applyFill="1" applyAlignment="1">
      <alignment horizontal="right" vertical="center"/>
    </xf>
    <xf numFmtId="9" fontId="47" fillId="2" borderId="24" xfId="14" applyFont="1" applyFill="1" applyBorder="1" applyAlignment="1" applyProtection="1">
      <alignment vertical="center"/>
    </xf>
    <xf numFmtId="37" fontId="46" fillId="5" borderId="24" xfId="2" applyNumberFormat="1" applyFont="1" applyFill="1" applyBorder="1" applyAlignment="1" applyProtection="1">
      <alignment horizontal="center" vertical="center"/>
    </xf>
    <xf numFmtId="0" fontId="39" fillId="6" borderId="16" xfId="1" applyFont="1" applyFill="1" applyBorder="1" applyAlignment="1">
      <alignment horizontal="left" vertical="center" wrapText="1"/>
    </xf>
    <xf numFmtId="0" fontId="39" fillId="6" borderId="16" xfId="1" applyFont="1" applyFill="1" applyBorder="1" applyAlignment="1">
      <alignment vertical="center"/>
    </xf>
    <xf numFmtId="0" fontId="13" fillId="6" borderId="16" xfId="1" applyFont="1" applyFill="1" applyBorder="1" applyAlignment="1">
      <alignment vertical="center"/>
    </xf>
    <xf numFmtId="0" fontId="39" fillId="6" borderId="16" xfId="1" applyFont="1" applyFill="1" applyBorder="1" applyAlignment="1">
      <alignment horizontal="center" vertical="center"/>
    </xf>
    <xf numFmtId="3" fontId="40" fillId="2" borderId="0" xfId="1" applyNumberFormat="1" applyFont="1" applyFill="1" applyAlignment="1">
      <alignment vertical="center"/>
    </xf>
    <xf numFmtId="37" fontId="40" fillId="2" borderId="0" xfId="1" applyNumberFormat="1" applyFont="1" applyFill="1" applyAlignment="1">
      <alignment vertical="center"/>
    </xf>
    <xf numFmtId="0" fontId="86" fillId="12" borderId="2" xfId="1" applyFont="1" applyFill="1" applyBorder="1" applyAlignment="1">
      <alignment vertical="center"/>
    </xf>
    <xf numFmtId="0" fontId="41" fillId="12" borderId="2" xfId="1" applyFont="1" applyFill="1" applyBorder="1" applyAlignment="1">
      <alignment vertical="center"/>
    </xf>
    <xf numFmtId="3" fontId="41" fillId="12" borderId="2" xfId="1" applyNumberFormat="1" applyFont="1" applyFill="1" applyBorder="1" applyAlignment="1">
      <alignment vertical="center"/>
    </xf>
    <xf numFmtId="37" fontId="41" fillId="12" borderId="2" xfId="1" applyNumberFormat="1" applyFont="1" applyFill="1" applyBorder="1" applyAlignment="1">
      <alignment vertical="center"/>
    </xf>
    <xf numFmtId="0" fontId="41" fillId="2" borderId="0" xfId="1" applyFont="1" applyFill="1" applyAlignment="1">
      <alignment vertical="center"/>
    </xf>
    <xf numFmtId="3" fontId="41" fillId="2" borderId="0" xfId="1" applyNumberFormat="1" applyFont="1" applyFill="1" applyAlignment="1">
      <alignment vertical="center"/>
    </xf>
    <xf numFmtId="37" fontId="41" fillId="2" borderId="0" xfId="1" applyNumberFormat="1" applyFont="1" applyFill="1" applyAlignment="1">
      <alignment vertical="center"/>
    </xf>
    <xf numFmtId="0" fontId="39" fillId="6" borderId="1" xfId="1" applyFont="1" applyFill="1" applyBorder="1" applyAlignment="1">
      <alignment horizontal="left" vertical="center" wrapText="1"/>
    </xf>
    <xf numFmtId="0" fontId="39" fillId="6" borderId="1" xfId="1" applyFont="1" applyFill="1" applyBorder="1" applyAlignment="1">
      <alignment vertical="center"/>
    </xf>
    <xf numFmtId="0" fontId="39" fillId="6" borderId="1" xfId="1" applyFont="1" applyFill="1" applyBorder="1" applyAlignment="1">
      <alignment horizontal="center" vertical="center"/>
    </xf>
    <xf numFmtId="0" fontId="41" fillId="4" borderId="8" xfId="1" applyFont="1" applyFill="1" applyBorder="1" applyAlignment="1">
      <alignment vertical="center"/>
    </xf>
    <xf numFmtId="3" fontId="41" fillId="4" borderId="8" xfId="1" applyNumberFormat="1" applyFont="1" applyFill="1" applyBorder="1" applyAlignment="1">
      <alignment vertical="center"/>
    </xf>
    <xf numFmtId="37" fontId="41" fillId="4" borderId="8" xfId="1" applyNumberFormat="1" applyFont="1" applyFill="1" applyBorder="1" applyAlignment="1">
      <alignment vertical="center"/>
    </xf>
    <xf numFmtId="0" fontId="39" fillId="6" borderId="1" xfId="1" applyFont="1" applyFill="1" applyBorder="1" applyAlignment="1">
      <alignment horizontal="center" vertical="center" wrapText="1"/>
    </xf>
    <xf numFmtId="3" fontId="42" fillId="4" borderId="0" xfId="1" applyNumberFormat="1" applyFont="1" applyFill="1" applyAlignment="1">
      <alignment horizontal="left" vertical="center" wrapText="1"/>
    </xf>
    <xf numFmtId="3" fontId="91" fillId="4" borderId="0" xfId="1" applyNumberFormat="1" applyFont="1" applyFill="1" applyAlignment="1">
      <alignment horizontal="center" vertical="center" wrapText="1"/>
    </xf>
    <xf numFmtId="3" fontId="40" fillId="4" borderId="0" xfId="1" applyNumberFormat="1" applyFont="1" applyFill="1" applyAlignment="1">
      <alignment horizontal="center" vertical="center"/>
    </xf>
    <xf numFmtId="3" fontId="42" fillId="4" borderId="0" xfId="2" applyNumberFormat="1" applyFont="1" applyFill="1" applyBorder="1" applyAlignment="1" applyProtection="1">
      <alignment horizontal="center" vertical="center"/>
    </xf>
    <xf numFmtId="3" fontId="42" fillId="4" borderId="0" xfId="2" applyNumberFormat="1" applyFont="1" applyFill="1" applyBorder="1" applyAlignment="1" applyProtection="1">
      <alignment vertical="center"/>
    </xf>
    <xf numFmtId="0" fontId="40" fillId="2" borderId="0" xfId="1" applyFont="1" applyFill="1" applyAlignment="1">
      <alignment horizontal="center" vertical="center"/>
    </xf>
    <xf numFmtId="3" fontId="52" fillId="12" borderId="15" xfId="1" applyNumberFormat="1" applyFont="1" applyFill="1" applyBorder="1" applyAlignment="1">
      <alignment horizontal="left" vertical="center" wrapText="1"/>
    </xf>
    <xf numFmtId="0" fontId="41" fillId="12" borderId="15" xfId="1" applyFont="1" applyFill="1" applyBorder="1" applyAlignment="1">
      <alignment horizontal="right" vertical="center"/>
    </xf>
    <xf numFmtId="3" fontId="41" fillId="12" borderId="15" xfId="1" applyNumberFormat="1" applyFont="1" applyFill="1" applyBorder="1" applyAlignment="1">
      <alignment horizontal="right" vertical="center"/>
    </xf>
    <xf numFmtId="3" fontId="38" fillId="12" borderId="15" xfId="2" applyNumberFormat="1" applyFont="1" applyFill="1" applyBorder="1" applyAlignment="1" applyProtection="1">
      <alignment vertical="center"/>
    </xf>
    <xf numFmtId="0" fontId="41" fillId="12" borderId="2" xfId="1" applyFont="1" applyFill="1" applyBorder="1" applyAlignment="1">
      <alignment horizontal="right" vertical="center"/>
    </xf>
    <xf numFmtId="3" fontId="41" fillId="12" borderId="2" xfId="1" applyNumberFormat="1" applyFont="1" applyFill="1" applyBorder="1" applyAlignment="1">
      <alignment horizontal="right" vertical="center"/>
    </xf>
    <xf numFmtId="3" fontId="38" fillId="12" borderId="2" xfId="2" applyNumberFormat="1" applyFont="1" applyFill="1" applyBorder="1" applyAlignment="1" applyProtection="1">
      <alignment vertical="center"/>
    </xf>
    <xf numFmtId="3" fontId="38" fillId="4" borderId="8" xfId="1" applyNumberFormat="1" applyFont="1" applyFill="1" applyBorder="1" applyAlignment="1">
      <alignment horizontal="left" vertical="center" wrapText="1"/>
    </xf>
    <xf numFmtId="3" fontId="38" fillId="4" borderId="8" xfId="1" applyNumberFormat="1" applyFont="1" applyFill="1" applyBorder="1" applyAlignment="1">
      <alignment horizontal="center" vertical="center" wrapText="1"/>
    </xf>
    <xf numFmtId="0" fontId="41" fillId="4" borderId="8" xfId="1" applyFont="1" applyFill="1" applyBorder="1" applyAlignment="1">
      <alignment horizontal="right" vertical="center"/>
    </xf>
    <xf numFmtId="3" fontId="41" fillId="4" borderId="8" xfId="1" applyNumberFormat="1" applyFont="1" applyFill="1" applyBorder="1" applyAlignment="1">
      <alignment horizontal="right" vertical="center"/>
    </xf>
    <xf numFmtId="3" fontId="38" fillId="4" borderId="8" xfId="2" applyNumberFormat="1" applyFont="1" applyFill="1" applyBorder="1" applyAlignment="1" applyProtection="1">
      <alignment vertical="center"/>
    </xf>
    <xf numFmtId="0" fontId="41" fillId="21" borderId="16" xfId="1" applyFont="1" applyFill="1" applyBorder="1" applyAlignment="1">
      <alignment vertical="center"/>
    </xf>
    <xf numFmtId="0" fontId="40" fillId="21" borderId="16" xfId="1" applyFont="1" applyFill="1" applyBorder="1" applyAlignment="1">
      <alignment vertical="center"/>
    </xf>
    <xf numFmtId="177" fontId="41" fillId="21" borderId="16" xfId="1" applyNumberFormat="1" applyFont="1" applyFill="1" applyBorder="1" applyAlignment="1">
      <alignment horizontal="center" vertical="center"/>
    </xf>
    <xf numFmtId="0" fontId="41" fillId="21" borderId="16" xfId="1" applyFont="1" applyFill="1" applyBorder="1" applyAlignment="1">
      <alignment horizontal="center" vertical="center"/>
    </xf>
    <xf numFmtId="0" fontId="39" fillId="7" borderId="3" xfId="1" applyFont="1" applyFill="1" applyBorder="1" applyAlignment="1">
      <alignment vertical="center"/>
    </xf>
    <xf numFmtId="37" fontId="39" fillId="7" borderId="3" xfId="1" applyNumberFormat="1" applyFont="1" applyFill="1" applyBorder="1" applyAlignment="1">
      <alignment horizontal="right" vertical="center"/>
    </xf>
    <xf numFmtId="3" fontId="42" fillId="3" borderId="0" xfId="1" applyNumberFormat="1" applyFont="1" applyFill="1" applyAlignment="1">
      <alignment vertical="center"/>
    </xf>
    <xf numFmtId="37" fontId="42" fillId="3" borderId="0" xfId="2" applyNumberFormat="1" applyFont="1" applyFill="1" applyAlignment="1" applyProtection="1">
      <alignment horizontal="right" vertical="center"/>
    </xf>
    <xf numFmtId="37" fontId="52" fillId="3" borderId="0" xfId="2" applyNumberFormat="1" applyFont="1" applyFill="1" applyAlignment="1" applyProtection="1">
      <alignment horizontal="right" vertical="center"/>
    </xf>
    <xf numFmtId="0" fontId="39" fillId="7" borderId="21" xfId="1" applyFont="1" applyFill="1" applyBorder="1" applyAlignment="1">
      <alignment vertical="center"/>
    </xf>
    <xf numFmtId="37" fontId="39" fillId="7" borderId="21" xfId="1" applyNumberFormat="1" applyFont="1" applyFill="1" applyBorder="1" applyAlignment="1">
      <alignment horizontal="right" vertical="center"/>
    </xf>
    <xf numFmtId="37" fontId="42" fillId="4" borderId="0" xfId="2" applyNumberFormat="1" applyFont="1" applyFill="1" applyAlignment="1" applyProtection="1">
      <alignment horizontal="right" vertical="center"/>
    </xf>
    <xf numFmtId="37" fontId="52" fillId="2" borderId="0" xfId="2" applyNumberFormat="1" applyFont="1" applyFill="1" applyAlignment="1" applyProtection="1">
      <alignment horizontal="right" vertical="center"/>
    </xf>
    <xf numFmtId="0" fontId="42" fillId="3" borderId="0" xfId="1" applyFont="1" applyFill="1" applyAlignment="1">
      <alignment vertical="center"/>
    </xf>
    <xf numFmtId="37" fontId="42" fillId="2" borderId="0" xfId="2" applyNumberFormat="1" applyFont="1" applyFill="1" applyAlignment="1" applyProtection="1">
      <alignment horizontal="right" vertical="center"/>
    </xf>
    <xf numFmtId="0" fontId="67" fillId="3" borderId="0" xfId="1" applyFont="1" applyFill="1" applyAlignment="1">
      <alignment vertical="center"/>
    </xf>
    <xf numFmtId="37" fontId="67" fillId="3" borderId="0" xfId="2" applyNumberFormat="1" applyFont="1" applyFill="1" applyAlignment="1" applyProtection="1">
      <alignment horizontal="right" vertical="center"/>
    </xf>
    <xf numFmtId="3" fontId="65" fillId="2" borderId="0" xfId="1" applyNumberFormat="1" applyFont="1" applyFill="1" applyAlignment="1">
      <alignment vertical="center"/>
    </xf>
    <xf numFmtId="0" fontId="39" fillId="7" borderId="5" xfId="1" applyFont="1" applyFill="1" applyBorder="1" applyAlignment="1">
      <alignment vertical="center" wrapText="1"/>
    </xf>
    <xf numFmtId="0" fontId="39" fillId="7" borderId="5" xfId="1" applyFont="1" applyFill="1" applyBorder="1" applyAlignment="1">
      <alignment vertical="center"/>
    </xf>
    <xf numFmtId="37" fontId="39" fillId="7" borderId="5" xfId="1" applyNumberFormat="1" applyFont="1" applyFill="1" applyBorder="1" applyAlignment="1">
      <alignment horizontal="right" vertical="center"/>
    </xf>
    <xf numFmtId="0" fontId="42" fillId="3" borderId="0" xfId="1" applyFont="1" applyFill="1" applyAlignment="1">
      <alignment vertical="center" wrapText="1"/>
    </xf>
    <xf numFmtId="37" fontId="52" fillId="3" borderId="0" xfId="1" applyNumberFormat="1" applyFont="1" applyFill="1" applyAlignment="1">
      <alignment horizontal="right" vertical="center"/>
    </xf>
    <xf numFmtId="0" fontId="40" fillId="3" borderId="0" xfId="1" applyFont="1" applyFill="1" applyAlignment="1">
      <alignment vertical="center"/>
    </xf>
    <xf numFmtId="0" fontId="42" fillId="4" borderId="0" xfId="1" applyFont="1" applyFill="1" applyAlignment="1">
      <alignment vertical="center"/>
    </xf>
    <xf numFmtId="37" fontId="52" fillId="4" borderId="0" xfId="2" applyNumberFormat="1" applyFont="1" applyFill="1" applyAlignment="1" applyProtection="1">
      <alignment horizontal="right" vertical="center"/>
    </xf>
    <xf numFmtId="37" fontId="67" fillId="2" borderId="0" xfId="2" applyNumberFormat="1" applyFont="1" applyFill="1" applyAlignment="1" applyProtection="1">
      <alignment horizontal="right" vertical="center"/>
    </xf>
    <xf numFmtId="0" fontId="40" fillId="4" borderId="0" xfId="1" applyFont="1" applyFill="1" applyAlignment="1">
      <alignment vertical="center"/>
    </xf>
    <xf numFmtId="37" fontId="17" fillId="2" borderId="0" xfId="1" applyNumberFormat="1" applyFont="1" applyFill="1"/>
    <xf numFmtId="0" fontId="65" fillId="3" borderId="0" xfId="1" applyFont="1" applyFill="1" applyAlignment="1">
      <alignment vertical="center"/>
    </xf>
    <xf numFmtId="0" fontId="67" fillId="4" borderId="0" xfId="1" applyFont="1" applyFill="1" applyAlignment="1">
      <alignment vertical="center"/>
    </xf>
    <xf numFmtId="3" fontId="42" fillId="3" borderId="0" xfId="1" applyNumberFormat="1" applyFont="1" applyFill="1" applyAlignment="1">
      <alignment vertical="center" wrapText="1"/>
    </xf>
    <xf numFmtId="37" fontId="52" fillId="4" borderId="0" xfId="1" applyNumberFormat="1" applyFont="1" applyFill="1" applyAlignment="1">
      <alignment horizontal="right" vertical="center"/>
    </xf>
    <xf numFmtId="3" fontId="67" fillId="3" borderId="0" xfId="1" applyNumberFormat="1" applyFont="1" applyFill="1" applyAlignment="1">
      <alignment vertical="center" wrapText="1"/>
    </xf>
    <xf numFmtId="3" fontId="67" fillId="3" borderId="0" xfId="1" applyNumberFormat="1" applyFont="1" applyFill="1" applyAlignment="1">
      <alignment vertical="center"/>
    </xf>
    <xf numFmtId="3" fontId="67" fillId="4" borderId="0" xfId="1" applyNumberFormat="1" applyFont="1" applyFill="1" applyAlignment="1">
      <alignment vertical="center"/>
    </xf>
    <xf numFmtId="37" fontId="67" fillId="4" borderId="0" xfId="2" applyNumberFormat="1" applyFont="1" applyFill="1" applyAlignment="1" applyProtection="1">
      <alignment horizontal="right" vertical="center"/>
    </xf>
    <xf numFmtId="0" fontId="41" fillId="4" borderId="2" xfId="1" applyFont="1" applyFill="1" applyBorder="1" applyAlignment="1">
      <alignment vertical="center"/>
    </xf>
    <xf numFmtId="37" fontId="41" fillId="4" borderId="2" xfId="1" applyNumberFormat="1" applyFont="1" applyFill="1" applyBorder="1" applyAlignment="1">
      <alignment horizontal="right" vertical="center"/>
    </xf>
    <xf numFmtId="0" fontId="40" fillId="4" borderId="8" xfId="1" applyFont="1" applyFill="1" applyBorder="1" applyAlignment="1">
      <alignment vertical="center"/>
    </xf>
    <xf numFmtId="3" fontId="40" fillId="4" borderId="8" xfId="1" applyNumberFormat="1" applyFont="1" applyFill="1" applyBorder="1" applyAlignment="1">
      <alignment horizontal="left" vertical="center" wrapText="1"/>
    </xf>
    <xf numFmtId="37" fontId="40" fillId="4" borderId="8" xfId="1" applyNumberFormat="1" applyFont="1" applyFill="1" applyBorder="1" applyAlignment="1">
      <alignment vertical="center"/>
    </xf>
    <xf numFmtId="0" fontId="40" fillId="4" borderId="9" xfId="1" applyFont="1" applyFill="1" applyBorder="1" applyAlignment="1">
      <alignment vertical="center"/>
    </xf>
    <xf numFmtId="3" fontId="40" fillId="4" borderId="9" xfId="1" applyNumberFormat="1" applyFont="1" applyFill="1" applyBorder="1" applyAlignment="1">
      <alignment horizontal="left" vertical="center" wrapText="1"/>
    </xf>
    <xf numFmtId="37" fontId="40" fillId="4" borderId="9" xfId="1" applyNumberFormat="1" applyFont="1" applyFill="1" applyBorder="1" applyAlignment="1">
      <alignment vertical="center"/>
    </xf>
    <xf numFmtId="37" fontId="41" fillId="4" borderId="9" xfId="1" applyNumberFormat="1" applyFont="1" applyFill="1" applyBorder="1" applyAlignment="1">
      <alignment vertical="center"/>
    </xf>
    <xf numFmtId="3" fontId="40" fillId="4" borderId="0" xfId="1" applyNumberFormat="1" applyFont="1" applyFill="1" applyAlignment="1">
      <alignment horizontal="left" vertical="center" wrapText="1"/>
    </xf>
    <xf numFmtId="37" fontId="40" fillId="4" borderId="0" xfId="1" applyNumberFormat="1" applyFont="1" applyFill="1" applyAlignment="1">
      <alignment vertical="center"/>
    </xf>
    <xf numFmtId="37" fontId="41" fillId="4" borderId="0" xfId="1" applyNumberFormat="1" applyFont="1" applyFill="1" applyAlignment="1">
      <alignment vertical="center"/>
    </xf>
    <xf numFmtId="0" fontId="41" fillId="20" borderId="19" xfId="1" applyFont="1" applyFill="1" applyBorder="1" applyAlignment="1">
      <alignment vertical="center" wrapText="1"/>
    </xf>
    <xf numFmtId="0" fontId="40" fillId="20" borderId="19" xfId="1" applyFont="1" applyFill="1" applyBorder="1" applyAlignment="1">
      <alignment vertical="center"/>
    </xf>
    <xf numFmtId="177" fontId="41" fillId="20" borderId="19" xfId="1" applyNumberFormat="1" applyFont="1" applyFill="1" applyBorder="1" applyAlignment="1">
      <alignment horizontal="center" vertical="center"/>
    </xf>
    <xf numFmtId="0" fontId="41" fillId="20" borderId="19" xfId="1" applyFont="1" applyFill="1" applyBorder="1" applyAlignment="1">
      <alignment horizontal="center" vertical="center"/>
    </xf>
    <xf numFmtId="37" fontId="42" fillId="3" borderId="0" xfId="1" applyNumberFormat="1" applyFont="1" applyFill="1" applyAlignment="1">
      <alignment horizontal="right" vertical="center"/>
    </xf>
    <xf numFmtId="37" fontId="42" fillId="3" borderId="0" xfId="2" applyNumberFormat="1" applyFont="1" applyFill="1" applyBorder="1" applyAlignment="1" applyProtection="1">
      <alignment horizontal="right" vertical="center"/>
    </xf>
    <xf numFmtId="0" fontId="39" fillId="7" borderId="21" xfId="1" applyFont="1" applyFill="1" applyBorder="1" applyAlignment="1">
      <alignment vertical="center" wrapText="1"/>
    </xf>
    <xf numFmtId="3" fontId="42" fillId="2" borderId="0" xfId="1" applyNumberFormat="1" applyFont="1" applyFill="1" applyAlignment="1">
      <alignment vertical="center" wrapText="1"/>
    </xf>
    <xf numFmtId="0" fontId="40" fillId="3" borderId="0" xfId="1" applyFont="1" applyFill="1" applyAlignment="1">
      <alignment vertical="center" wrapText="1"/>
    </xf>
    <xf numFmtId="0" fontId="42" fillId="4" borderId="0" xfId="1" applyFont="1" applyFill="1" applyAlignment="1">
      <alignment vertical="center" wrapText="1"/>
    </xf>
    <xf numFmtId="0" fontId="65" fillId="3" borderId="0" xfId="1" applyFont="1" applyFill="1" applyAlignment="1">
      <alignment vertical="center" wrapText="1"/>
    </xf>
    <xf numFmtId="0" fontId="67" fillId="4" borderId="0" xfId="1" applyFont="1" applyFill="1" applyAlignment="1">
      <alignment vertical="center" wrapText="1"/>
    </xf>
    <xf numFmtId="3" fontId="67" fillId="4" borderId="0" xfId="1" applyNumberFormat="1" applyFont="1" applyFill="1" applyAlignment="1">
      <alignment vertical="center" wrapText="1"/>
    </xf>
    <xf numFmtId="37" fontId="42" fillId="11" borderId="0" xfId="2" applyNumberFormat="1" applyFont="1" applyFill="1" applyAlignment="1" applyProtection="1">
      <alignment horizontal="right" vertical="center"/>
    </xf>
    <xf numFmtId="0" fontId="41" fillId="4" borderId="2" xfId="1" applyFont="1" applyFill="1" applyBorder="1" applyAlignment="1">
      <alignment vertical="center" wrapText="1"/>
    </xf>
    <xf numFmtId="37" fontId="41" fillId="4" borderId="2" xfId="1" applyNumberFormat="1" applyFont="1" applyFill="1" applyBorder="1" applyAlignment="1">
      <alignment vertical="center"/>
    </xf>
    <xf numFmtId="0" fontId="40" fillId="4" borderId="8" xfId="1" applyFont="1" applyFill="1" applyBorder="1" applyAlignment="1">
      <alignment vertical="center" wrapText="1"/>
    </xf>
    <xf numFmtId="0" fontId="40" fillId="4" borderId="9" xfId="1" applyFont="1" applyFill="1" applyBorder="1" applyAlignment="1">
      <alignment vertical="center" wrapText="1"/>
    </xf>
    <xf numFmtId="177" fontId="39" fillId="6" borderId="1" xfId="1" applyNumberFormat="1" applyFont="1" applyFill="1" applyBorder="1" applyAlignment="1">
      <alignment horizontal="right" vertical="center"/>
    </xf>
    <xf numFmtId="0" fontId="39" fillId="6" borderId="1" xfId="1" applyFont="1" applyFill="1" applyBorder="1" applyAlignment="1">
      <alignment horizontal="right" vertical="center"/>
    </xf>
    <xf numFmtId="3" fontId="40" fillId="2" borderId="0" xfId="1" applyNumberFormat="1" applyFont="1" applyFill="1" applyAlignment="1">
      <alignment horizontal="left" vertical="center" wrapText="1"/>
    </xf>
    <xf numFmtId="39" fontId="42" fillId="2" borderId="0" xfId="2" applyNumberFormat="1" applyFont="1" applyFill="1" applyAlignment="1" applyProtection="1">
      <alignment horizontal="right" vertical="center"/>
    </xf>
    <xf numFmtId="37" fontId="1" fillId="2" borderId="0" xfId="1" applyNumberFormat="1" applyFont="1" applyFill="1" applyAlignment="1">
      <alignment vertical="center"/>
    </xf>
    <xf numFmtId="39" fontId="42" fillId="2" borderId="0" xfId="1" applyNumberFormat="1" applyFont="1" applyFill="1" applyAlignment="1">
      <alignment vertical="center"/>
    </xf>
    <xf numFmtId="0" fontId="81" fillId="0" borderId="0" xfId="0" applyFont="1" applyAlignment="1">
      <alignment vertical="center"/>
    </xf>
    <xf numFmtId="0" fontId="80" fillId="0" borderId="12" xfId="0" applyFont="1" applyBorder="1" applyAlignment="1">
      <alignment vertical="center"/>
    </xf>
    <xf numFmtId="0" fontId="80" fillId="0" borderId="11" xfId="0" applyFont="1" applyBorder="1" applyAlignment="1">
      <alignment horizontal="center" vertical="center"/>
    </xf>
    <xf numFmtId="0" fontId="80" fillId="0" borderId="11" xfId="0" applyFont="1" applyBorder="1" applyAlignment="1">
      <alignment vertical="center"/>
    </xf>
    <xf numFmtId="37" fontId="80" fillId="0" borderId="11" xfId="0" applyNumberFormat="1" applyFont="1" applyBorder="1" applyAlignment="1">
      <alignment horizontal="center" vertical="center"/>
    </xf>
    <xf numFmtId="37" fontId="78" fillId="0" borderId="11" xfId="0" applyNumberFormat="1" applyFont="1" applyBorder="1" applyAlignment="1">
      <alignment horizontal="center" vertical="center"/>
    </xf>
    <xf numFmtId="0" fontId="79" fillId="4" borderId="14" xfId="1" applyFont="1" applyFill="1" applyBorder="1" applyAlignment="1">
      <alignment vertical="center"/>
    </xf>
    <xf numFmtId="37" fontId="79" fillId="0" borderId="11" xfId="0" applyNumberFormat="1" applyFont="1" applyBorder="1" applyAlignment="1">
      <alignment horizontal="center" vertical="center"/>
    </xf>
    <xf numFmtId="37" fontId="77" fillId="0" borderId="11" xfId="0" applyNumberFormat="1" applyFont="1" applyBorder="1" applyAlignment="1">
      <alignment horizontal="center" vertical="center"/>
    </xf>
    <xf numFmtId="0" fontId="79" fillId="4" borderId="14" xfId="1" applyFont="1" applyFill="1" applyBorder="1" applyAlignment="1">
      <alignment vertical="center" wrapText="1"/>
    </xf>
    <xf numFmtId="0" fontId="80" fillId="4" borderId="14" xfId="0" applyFont="1" applyFill="1" applyBorder="1" applyAlignment="1">
      <alignment vertical="center"/>
    </xf>
    <xf numFmtId="175" fontId="80" fillId="0" borderId="11" xfId="0" applyNumberFormat="1" applyFont="1" applyBorder="1" applyAlignment="1">
      <alignment horizontal="center" vertical="center"/>
    </xf>
    <xf numFmtId="175" fontId="78" fillId="0" borderId="11" xfId="0" applyNumberFormat="1" applyFont="1" applyBorder="1" applyAlignment="1">
      <alignment horizontal="center" vertical="center"/>
    </xf>
    <xf numFmtId="0" fontId="94" fillId="0" borderId="0" xfId="0" applyFont="1" applyAlignment="1">
      <alignment vertical="center"/>
    </xf>
    <xf numFmtId="0" fontId="93" fillId="0" borderId="0" xfId="0" applyFont="1" applyAlignment="1">
      <alignment vertical="center"/>
    </xf>
    <xf numFmtId="170" fontId="6" fillId="10" borderId="18" xfId="4" applyNumberFormat="1" applyFont="1" applyFill="1" applyBorder="1" applyAlignment="1" applyProtection="1">
      <alignment horizontal="right" vertical="center"/>
      <protection locked="0"/>
    </xf>
    <xf numFmtId="170" fontId="6" fillId="10" borderId="20" xfId="4" applyNumberFormat="1" applyFont="1" applyFill="1" applyBorder="1" applyAlignment="1" applyProtection="1">
      <alignment horizontal="right" vertical="center"/>
      <protection locked="0"/>
    </xf>
    <xf numFmtId="0" fontId="2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1" fillId="2" borderId="0" xfId="1" applyFont="1" applyFill="1" applyAlignment="1" applyProtection="1">
      <alignment vertical="center"/>
      <protection locked="0"/>
    </xf>
    <xf numFmtId="0" fontId="7" fillId="2" borderId="0" xfId="1" applyFont="1" applyFill="1" applyAlignment="1" applyProtection="1">
      <alignment vertical="center" wrapText="1"/>
      <protection locked="0"/>
    </xf>
    <xf numFmtId="0" fontId="43" fillId="2" borderId="0" xfId="1" applyFont="1" applyFill="1" applyProtection="1">
      <protection locked="0"/>
    </xf>
    <xf numFmtId="0" fontId="22" fillId="2" borderId="0" xfId="1" applyFont="1" applyFill="1" applyProtection="1">
      <protection locked="0"/>
    </xf>
    <xf numFmtId="0" fontId="10" fillId="2" borderId="0" xfId="1" applyFont="1" applyFill="1" applyAlignment="1" applyProtection="1">
      <alignment vertical="center"/>
      <protection locked="0"/>
    </xf>
    <xf numFmtId="0" fontId="5" fillId="2" borderId="0" xfId="1" applyFont="1" applyFill="1" applyAlignment="1" applyProtection="1">
      <alignment horizontal="right" vertical="center"/>
      <protection locked="0"/>
    </xf>
    <xf numFmtId="0" fontId="6" fillId="2" borderId="0" xfId="1" applyFont="1" applyFill="1" applyAlignment="1" applyProtection="1">
      <alignment horizontal="left" vertical="center" wrapText="1"/>
      <protection locked="0"/>
    </xf>
    <xf numFmtId="0" fontId="6" fillId="2" borderId="0" xfId="1" applyFont="1" applyFill="1" applyAlignment="1" applyProtection="1">
      <alignment horizontal="left" vertical="center"/>
      <protection locked="0"/>
    </xf>
    <xf numFmtId="0" fontId="12" fillId="6" borderId="1" xfId="1" applyFont="1" applyFill="1" applyBorder="1" applyAlignment="1" applyProtection="1">
      <alignment vertical="center"/>
      <protection locked="0"/>
    </xf>
    <xf numFmtId="0" fontId="13" fillId="6" borderId="1" xfId="1" applyFont="1" applyFill="1" applyBorder="1" applyAlignment="1" applyProtection="1">
      <alignment vertical="center"/>
      <protection locked="0"/>
    </xf>
    <xf numFmtId="0" fontId="12" fillId="6" borderId="1" xfId="1" applyFont="1" applyFill="1" applyBorder="1" applyAlignment="1" applyProtection="1">
      <alignment horizontal="center" vertical="center"/>
      <protection locked="0"/>
    </xf>
    <xf numFmtId="0" fontId="12" fillId="6" borderId="1" xfId="1" applyFont="1" applyFill="1" applyBorder="1" applyAlignment="1" applyProtection="1">
      <alignment horizontal="center" vertical="center" wrapText="1"/>
      <protection locked="0"/>
    </xf>
    <xf numFmtId="0" fontId="31" fillId="7" borderId="0" xfId="1" applyFont="1" applyFill="1" applyAlignment="1" applyProtection="1">
      <alignment horizontal="center" vertical="center" wrapText="1"/>
      <protection locked="0"/>
    </xf>
    <xf numFmtId="0" fontId="16" fillId="7" borderId="5" xfId="1" applyFont="1" applyFill="1" applyBorder="1" applyAlignment="1" applyProtection="1">
      <alignment vertical="center" wrapText="1"/>
      <protection locked="0"/>
    </xf>
    <xf numFmtId="0" fontId="6" fillId="4" borderId="0" xfId="1" applyFont="1" applyFill="1" applyAlignment="1" applyProtection="1">
      <alignment horizontal="left" vertical="center"/>
      <protection locked="0"/>
    </xf>
    <xf numFmtId="4" fontId="6" fillId="10" borderId="0" xfId="1" applyNumberFormat="1" applyFont="1" applyFill="1" applyAlignment="1" applyProtection="1">
      <alignment horizontal="right" vertical="center"/>
      <protection locked="0"/>
    </xf>
    <xf numFmtId="0" fontId="24" fillId="4" borderId="0" xfId="0" applyFont="1" applyFill="1" applyAlignment="1" applyProtection="1">
      <alignment vertical="center" wrapText="1"/>
      <protection locked="0"/>
    </xf>
    <xf numFmtId="0" fontId="6" fillId="4" borderId="0" xfId="1" applyFont="1" applyFill="1" applyAlignment="1" applyProtection="1">
      <alignment horizontal="left" vertical="center" wrapText="1"/>
      <protection locked="0"/>
    </xf>
    <xf numFmtId="0" fontId="6" fillId="4" borderId="0" xfId="1" applyFont="1" applyFill="1" applyAlignment="1" applyProtection="1">
      <alignment vertical="center" wrapText="1"/>
      <protection locked="0"/>
    </xf>
    <xf numFmtId="0" fontId="6" fillId="2" borderId="15" xfId="1" applyFont="1" applyFill="1" applyBorder="1" applyAlignment="1" applyProtection="1">
      <alignment horizontal="left" vertical="center"/>
      <protection locked="0"/>
    </xf>
    <xf numFmtId="0" fontId="6" fillId="4" borderId="15" xfId="1" applyFont="1" applyFill="1" applyBorder="1" applyAlignment="1" applyProtection="1">
      <alignment vertical="center" wrapText="1"/>
      <protection locked="0"/>
    </xf>
    <xf numFmtId="0" fontId="6" fillId="2" borderId="17" xfId="1" applyFont="1" applyFill="1" applyBorder="1" applyAlignment="1" applyProtection="1">
      <alignment horizontal="left" vertical="center"/>
      <protection locked="0"/>
    </xf>
    <xf numFmtId="0" fontId="6" fillId="4" borderId="17" xfId="1" applyFont="1" applyFill="1" applyBorder="1" applyAlignment="1" applyProtection="1">
      <alignment vertical="center" wrapText="1"/>
      <protection locked="0"/>
    </xf>
    <xf numFmtId="4" fontId="1" fillId="2" borderId="0" xfId="1" applyNumberFormat="1" applyFont="1" applyFill="1" applyAlignment="1" applyProtection="1">
      <alignment vertical="center"/>
      <protection locked="0"/>
    </xf>
    <xf numFmtId="0" fontId="16" fillId="7" borderId="21" xfId="1" applyFont="1" applyFill="1" applyBorder="1" applyAlignment="1" applyProtection="1">
      <alignment vertical="center"/>
      <protection locked="0"/>
    </xf>
    <xf numFmtId="0" fontId="31" fillId="7" borderId="21" xfId="1" applyFont="1" applyFill="1" applyBorder="1" applyAlignment="1" applyProtection="1">
      <alignment horizontal="center" vertical="center" wrapText="1"/>
      <protection locked="0"/>
    </xf>
    <xf numFmtId="0" fontId="16" fillId="7" borderId="21" xfId="1" applyFont="1" applyFill="1" applyBorder="1" applyAlignment="1" applyProtection="1">
      <alignment vertical="center" wrapText="1"/>
      <protection locked="0"/>
    </xf>
    <xf numFmtId="0" fontId="6" fillId="4" borderId="17" xfId="1" applyFont="1" applyFill="1" applyBorder="1" applyAlignment="1" applyProtection="1">
      <alignment horizontal="left" vertical="center"/>
      <protection locked="0"/>
    </xf>
    <xf numFmtId="4" fontId="6" fillId="10" borderId="17" xfId="1" applyNumberFormat="1" applyFont="1" applyFill="1" applyBorder="1" applyAlignment="1" applyProtection="1">
      <alignment horizontal="right" vertical="center"/>
      <protection locked="0"/>
    </xf>
    <xf numFmtId="0" fontId="6" fillId="2" borderId="6" xfId="1" applyFont="1" applyFill="1" applyBorder="1" applyAlignment="1" applyProtection="1">
      <alignment horizontal="left" vertical="center"/>
      <protection locked="0"/>
    </xf>
    <xf numFmtId="4" fontId="6" fillId="10" borderId="0" xfId="5" applyNumberFormat="1" applyFont="1" applyFill="1" applyBorder="1" applyAlignment="1" applyProtection="1">
      <alignment horizontal="right" vertical="center"/>
      <protection locked="0"/>
    </xf>
    <xf numFmtId="0" fontId="6" fillId="4" borderId="21" xfId="1" applyFont="1" applyFill="1" applyBorder="1" applyAlignment="1" applyProtection="1">
      <alignment horizontal="left" vertical="center" wrapText="1"/>
      <protection locked="0"/>
    </xf>
    <xf numFmtId="0" fontId="20" fillId="2" borderId="0" xfId="1" applyFont="1" applyFill="1" applyAlignment="1" applyProtection="1">
      <alignment vertical="center"/>
      <protection locked="0"/>
    </xf>
    <xf numFmtId="3" fontId="11" fillId="10" borderId="21" xfId="1" applyNumberFormat="1" applyFont="1" applyFill="1" applyBorder="1" applyAlignment="1" applyProtection="1">
      <alignment horizontal="center" vertical="center"/>
      <protection locked="0"/>
    </xf>
    <xf numFmtId="2" fontId="11" fillId="4" borderId="21" xfId="1" applyNumberFormat="1" applyFont="1" applyFill="1" applyBorder="1" applyAlignment="1" applyProtection="1">
      <alignment vertical="center"/>
      <protection locked="0"/>
    </xf>
    <xf numFmtId="173" fontId="20" fillId="10" borderId="21" xfId="4" applyNumberFormat="1" applyFont="1" applyFill="1" applyBorder="1" applyAlignment="1" applyProtection="1">
      <alignment horizontal="right" vertical="center"/>
      <protection locked="0"/>
    </xf>
    <xf numFmtId="37" fontId="11" fillId="4" borderId="21" xfId="2" applyNumberFormat="1" applyFont="1" applyFill="1" applyBorder="1" applyAlignment="1">
      <alignment vertical="center" wrapText="1"/>
      <protection locked="0"/>
    </xf>
    <xf numFmtId="0" fontId="6" fillId="4" borderId="17" xfId="1" applyFont="1" applyFill="1" applyBorder="1" applyAlignment="1" applyProtection="1">
      <alignment horizontal="left" vertical="center" wrapText="1"/>
      <protection locked="0"/>
    </xf>
    <xf numFmtId="0" fontId="2" fillId="2" borderId="17" xfId="1" applyFont="1" applyFill="1" applyBorder="1" applyAlignment="1" applyProtection="1">
      <alignment vertical="center"/>
      <protection locked="0"/>
    </xf>
    <xf numFmtId="2" fontId="11" fillId="4" borderId="17" xfId="1" applyNumberFormat="1" applyFont="1" applyFill="1" applyBorder="1" applyAlignment="1" applyProtection="1">
      <alignment vertical="center"/>
      <protection locked="0"/>
    </xf>
    <xf numFmtId="173" fontId="20" fillId="10" borderId="17" xfId="4" applyNumberFormat="1" applyFont="1" applyFill="1" applyBorder="1" applyAlignment="1" applyProtection="1">
      <alignment horizontal="right" vertical="center"/>
      <protection locked="0"/>
    </xf>
    <xf numFmtId="37" fontId="11" fillId="4" borderId="17" xfId="2" applyNumberFormat="1" applyFont="1" applyFill="1" applyBorder="1" applyAlignment="1">
      <alignment vertical="center" wrapText="1"/>
      <protection locked="0"/>
    </xf>
    <xf numFmtId="0" fontId="24" fillId="4" borderId="17" xfId="0" applyFont="1" applyFill="1" applyBorder="1" applyAlignment="1" applyProtection="1">
      <alignment vertical="center" wrapText="1"/>
      <protection locked="0"/>
    </xf>
    <xf numFmtId="3" fontId="6" fillId="4" borderId="0" xfId="1" applyNumberFormat="1" applyFont="1" applyFill="1" applyAlignment="1" applyProtection="1">
      <alignment horizontal="right" vertical="center"/>
      <protection locked="0"/>
    </xf>
    <xf numFmtId="3" fontId="11" fillId="4" borderId="6" xfId="1" applyNumberFormat="1" applyFont="1" applyFill="1" applyBorder="1" applyAlignment="1" applyProtection="1">
      <alignment vertical="center" wrapText="1"/>
      <protection locked="0"/>
    </xf>
    <xf numFmtId="2" fontId="11" fillId="4" borderId="6" xfId="1" applyNumberFormat="1" applyFont="1" applyFill="1" applyBorder="1" applyAlignment="1" applyProtection="1">
      <alignment vertical="center"/>
      <protection locked="0"/>
    </xf>
    <xf numFmtId="173" fontId="6" fillId="10" borderId="6" xfId="4" applyNumberFormat="1" applyFont="1" applyFill="1" applyBorder="1" applyAlignment="1" applyProtection="1">
      <alignment horizontal="right" vertical="center"/>
      <protection locked="0"/>
    </xf>
    <xf numFmtId="37" fontId="7" fillId="4" borderId="6" xfId="2" applyNumberFormat="1" applyFont="1" applyFill="1" applyBorder="1" applyAlignment="1">
      <alignment vertical="center" wrapText="1"/>
      <protection locked="0"/>
    </xf>
    <xf numFmtId="3" fontId="42" fillId="2" borderId="0" xfId="1" applyNumberFormat="1" applyFont="1" applyFill="1" applyAlignment="1" applyProtection="1">
      <alignment vertical="center"/>
      <protection locked="0"/>
    </xf>
    <xf numFmtId="0" fontId="6" fillId="2" borderId="0" xfId="1" applyFont="1" applyFill="1" applyAlignment="1" applyProtection="1">
      <alignment vertical="center"/>
      <protection locked="0"/>
    </xf>
    <xf numFmtId="3" fontId="11" fillId="10" borderId="0" xfId="1" applyNumberFormat="1" applyFont="1" applyFill="1" applyAlignment="1" applyProtection="1">
      <alignment horizontal="center" vertical="center"/>
      <protection locked="0"/>
    </xf>
    <xf numFmtId="2" fontId="11" fillId="4" borderId="0" xfId="1" applyNumberFormat="1" applyFont="1" applyFill="1" applyAlignment="1" applyProtection="1">
      <alignment vertical="center"/>
      <protection locked="0"/>
    </xf>
    <xf numFmtId="173" fontId="6" fillId="10" borderId="0" xfId="4" applyNumberFormat="1" applyFont="1" applyFill="1" applyBorder="1" applyAlignment="1" applyProtection="1">
      <alignment horizontal="right" vertical="center"/>
      <protection locked="0"/>
    </xf>
    <xf numFmtId="37" fontId="7" fillId="4" borderId="0" xfId="2" applyNumberFormat="1" applyFont="1" applyFill="1" applyBorder="1" applyAlignment="1">
      <alignment vertical="center" wrapText="1"/>
      <protection locked="0"/>
    </xf>
    <xf numFmtId="0" fontId="6" fillId="2" borderId="17" xfId="1" applyFont="1" applyFill="1" applyBorder="1" applyAlignment="1" applyProtection="1">
      <alignment vertical="center"/>
      <protection locked="0"/>
    </xf>
    <xf numFmtId="37" fontId="7" fillId="4" borderId="17" xfId="2" applyNumberFormat="1" applyFont="1" applyFill="1" applyBorder="1" applyAlignment="1">
      <alignment vertical="center" wrapText="1"/>
      <protection locked="0"/>
    </xf>
    <xf numFmtId="170" fontId="6" fillId="10" borderId="0" xfId="4" applyNumberFormat="1" applyFont="1" applyFill="1" applyBorder="1" applyAlignment="1" applyProtection="1">
      <alignment horizontal="right" vertical="center"/>
      <protection locked="0"/>
    </xf>
    <xf numFmtId="37" fontId="7" fillId="4" borderId="0" xfId="2" applyNumberFormat="1" applyFont="1" applyFill="1" applyBorder="1" applyAlignment="1">
      <alignment horizontal="left" vertical="center"/>
      <protection locked="0"/>
    </xf>
    <xf numFmtId="37" fontId="25" fillId="4" borderId="0" xfId="2" applyNumberFormat="1" applyFont="1" applyFill="1" applyBorder="1" applyAlignment="1">
      <alignment vertical="center" wrapText="1"/>
      <protection locked="0"/>
    </xf>
    <xf numFmtId="3" fontId="11" fillId="4" borderId="21" xfId="1" applyNumberFormat="1" applyFont="1" applyFill="1" applyBorder="1" applyAlignment="1" applyProtection="1">
      <alignment vertical="center" wrapText="1"/>
      <protection locked="0"/>
    </xf>
    <xf numFmtId="3" fontId="11" fillId="4" borderId="17" xfId="1" applyNumberFormat="1" applyFont="1" applyFill="1" applyBorder="1" applyAlignment="1" applyProtection="1">
      <alignment vertical="center" wrapText="1"/>
      <protection locked="0"/>
    </xf>
    <xf numFmtId="0" fontId="12" fillId="6" borderId="0" xfId="1" applyFont="1" applyFill="1" applyAlignment="1" applyProtection="1">
      <alignment vertical="center"/>
      <protection locked="0"/>
    </xf>
    <xf numFmtId="0" fontId="13" fillId="6" borderId="0" xfId="1" applyFont="1" applyFill="1" applyAlignment="1" applyProtection="1">
      <alignment vertical="center"/>
      <protection locked="0"/>
    </xf>
    <xf numFmtId="0" fontId="12" fillId="6" borderId="0" xfId="1" applyFont="1" applyFill="1" applyAlignment="1" applyProtection="1">
      <alignment horizontal="center" vertical="center"/>
      <protection locked="0"/>
    </xf>
    <xf numFmtId="0" fontId="12" fillId="6" borderId="0" xfId="1" applyFont="1" applyFill="1" applyAlignment="1" applyProtection="1">
      <alignment horizontal="center" vertical="center" wrapText="1"/>
      <protection locked="0"/>
    </xf>
    <xf numFmtId="3" fontId="6" fillId="4" borderId="0" xfId="1" applyNumberFormat="1" applyFont="1" applyFill="1" applyAlignment="1" applyProtection="1">
      <alignment vertical="center" wrapText="1"/>
      <protection locked="0"/>
    </xf>
    <xf numFmtId="3" fontId="6" fillId="2" borderId="0" xfId="1" applyNumberFormat="1" applyFont="1" applyFill="1" applyAlignment="1" applyProtection="1">
      <alignment horizontal="left" vertical="center" wrapText="1"/>
      <protection locked="0"/>
    </xf>
    <xf numFmtId="49" fontId="7" fillId="2" borderId="0" xfId="1" applyNumberFormat="1" applyFont="1" applyFill="1" applyAlignment="1" applyProtection="1">
      <alignment vertical="center" wrapText="1"/>
      <protection locked="0"/>
    </xf>
    <xf numFmtId="49" fontId="6" fillId="2" borderId="0" xfId="1" applyNumberFormat="1" applyFont="1" applyFill="1" applyAlignment="1" applyProtection="1">
      <alignment vertical="center" wrapText="1"/>
      <protection locked="0"/>
    </xf>
    <xf numFmtId="0" fontId="20" fillId="2" borderId="21" xfId="1" applyFont="1" applyFill="1" applyBorder="1" applyAlignment="1" applyProtection="1">
      <alignment vertical="center"/>
      <protection locked="0"/>
    </xf>
    <xf numFmtId="0" fontId="20" fillId="2" borderId="17" xfId="1" applyFont="1" applyFill="1" applyBorder="1" applyAlignment="1" applyProtection="1">
      <alignment vertical="center"/>
      <protection locked="0"/>
    </xf>
    <xf numFmtId="0" fontId="1" fillId="4" borderId="0" xfId="1" applyFont="1" applyFill="1" applyAlignment="1" applyProtection="1">
      <alignment vertical="center"/>
      <protection locked="0"/>
    </xf>
    <xf numFmtId="3" fontId="6" fillId="4" borderId="0" xfId="1" applyNumberFormat="1" applyFont="1" applyFill="1" applyAlignment="1" applyProtection="1">
      <alignment horizontal="left" vertical="center" wrapText="1"/>
      <protection locked="0"/>
    </xf>
    <xf numFmtId="3" fontId="6" fillId="4" borderId="0" xfId="4" applyNumberFormat="1" applyFont="1" applyFill="1" applyBorder="1" applyAlignment="1" applyProtection="1">
      <alignment horizontal="right" vertical="center"/>
      <protection locked="0"/>
    </xf>
    <xf numFmtId="49" fontId="6" fillId="4" borderId="0" xfId="1" applyNumberFormat="1" applyFont="1" applyFill="1" applyAlignment="1" applyProtection="1">
      <alignment vertical="center" wrapText="1"/>
      <protection locked="0"/>
    </xf>
    <xf numFmtId="0" fontId="43" fillId="4" borderId="0" xfId="1" applyFont="1" applyFill="1" applyProtection="1">
      <protection locked="0"/>
    </xf>
    <xf numFmtId="0" fontId="22" fillId="4" borderId="0" xfId="1" applyFont="1" applyFill="1" applyProtection="1">
      <protection locked="0"/>
    </xf>
    <xf numFmtId="0" fontId="6" fillId="10" borderId="0" xfId="1" applyFont="1" applyFill="1" applyAlignment="1" applyProtection="1">
      <alignment horizontal="right" vertical="center"/>
      <protection locked="0"/>
    </xf>
    <xf numFmtId="9" fontId="6" fillId="10" borderId="17" xfId="5" applyFont="1" applyFill="1" applyBorder="1" applyAlignment="1" applyProtection="1">
      <alignment horizontal="right" vertical="center"/>
      <protection locked="0"/>
    </xf>
    <xf numFmtId="0" fontId="7" fillId="2" borderId="17" xfId="1" applyFont="1" applyFill="1" applyBorder="1" applyAlignment="1" applyProtection="1">
      <alignment vertical="center" wrapText="1"/>
      <protection locked="0"/>
    </xf>
    <xf numFmtId="3" fontId="6" fillId="10" borderId="0" xfId="1" applyNumberFormat="1" applyFont="1" applyFill="1" applyAlignment="1" applyProtection="1">
      <alignment horizontal="right" vertical="center"/>
      <protection locked="0"/>
    </xf>
    <xf numFmtId="3" fontId="6" fillId="10" borderId="0" xfId="4" applyNumberFormat="1" applyFont="1" applyFill="1" applyBorder="1" applyAlignment="1" applyProtection="1">
      <alignment horizontal="right" vertical="center"/>
      <protection locked="0"/>
    </xf>
    <xf numFmtId="10" fontId="6" fillId="10" borderId="0" xfId="14" applyNumberFormat="1" applyFont="1" applyFill="1" applyBorder="1" applyAlignment="1" applyProtection="1">
      <alignment horizontal="right" vertical="center"/>
      <protection locked="0"/>
    </xf>
    <xf numFmtId="37" fontId="7" fillId="4" borderId="17" xfId="2" applyNumberFormat="1" applyFont="1" applyFill="1" applyBorder="1" applyAlignment="1">
      <alignment horizontal="left" vertical="center"/>
      <protection locked="0"/>
    </xf>
    <xf numFmtId="9" fontId="6" fillId="4" borderId="0" xfId="14" applyFont="1" applyFill="1" applyBorder="1" applyAlignment="1" applyProtection="1">
      <alignment horizontal="right" vertical="center"/>
      <protection locked="0"/>
    </xf>
    <xf numFmtId="4" fontId="6" fillId="10" borderId="0" xfId="14" applyNumberFormat="1" applyFont="1" applyFill="1" applyBorder="1" applyAlignment="1" applyProtection="1">
      <alignment horizontal="right" vertical="center"/>
      <protection locked="0"/>
    </xf>
    <xf numFmtId="37" fontId="6" fillId="4" borderId="0" xfId="2" applyNumberFormat="1" applyFont="1" applyFill="1" applyBorder="1" applyAlignment="1">
      <alignment vertical="center" wrapText="1"/>
      <protection locked="0"/>
    </xf>
    <xf numFmtId="4" fontId="6" fillId="10" borderId="17" xfId="14" applyNumberFormat="1" applyFont="1" applyFill="1" applyBorder="1" applyAlignment="1" applyProtection="1">
      <alignment horizontal="right" vertical="center"/>
      <protection locked="0"/>
    </xf>
    <xf numFmtId="37" fontId="6" fillId="4" borderId="17" xfId="2" applyNumberFormat="1" applyFont="1" applyFill="1" applyBorder="1" applyAlignment="1">
      <alignment vertical="center" wrapText="1"/>
      <protection locked="0"/>
    </xf>
    <xf numFmtId="37" fontId="66" fillId="4" borderId="0" xfId="2" applyNumberFormat="1" applyFont="1" applyFill="1" applyBorder="1" applyAlignment="1">
      <alignment vertical="center" wrapText="1"/>
      <protection locked="0"/>
    </xf>
    <xf numFmtId="0" fontId="7" fillId="2" borderId="21" xfId="1" applyFont="1" applyFill="1" applyBorder="1" applyAlignment="1" applyProtection="1">
      <alignment vertical="center" wrapText="1"/>
      <protection locked="0"/>
    </xf>
    <xf numFmtId="0" fontId="1" fillId="2" borderId="17" xfId="1" applyFont="1" applyFill="1" applyBorder="1" applyAlignment="1" applyProtection="1">
      <alignment vertical="center"/>
      <protection locked="0"/>
    </xf>
    <xf numFmtId="37" fontId="7" fillId="2" borderId="0" xfId="2" applyNumberFormat="1" applyFont="1" applyFill="1" applyBorder="1" applyAlignment="1">
      <alignment horizontal="right" vertical="center"/>
      <protection locked="0"/>
    </xf>
    <xf numFmtId="3" fontId="6" fillId="2" borderId="6" xfId="1" applyNumberFormat="1" applyFont="1" applyFill="1" applyBorder="1" applyAlignment="1" applyProtection="1">
      <alignment horizontal="left" vertical="center" wrapText="1"/>
      <protection locked="0"/>
    </xf>
    <xf numFmtId="3" fontId="11" fillId="4" borderId="20" xfId="1" applyNumberFormat="1" applyFont="1" applyFill="1" applyBorder="1" applyAlignment="1" applyProtection="1">
      <alignment vertical="center"/>
      <protection locked="0"/>
    </xf>
    <xf numFmtId="37" fontId="11" fillId="4" borderId="20" xfId="2" applyNumberFormat="1" applyFont="1" applyFill="1" applyBorder="1" applyAlignment="1">
      <alignment horizontal="left" vertical="center"/>
      <protection locked="0"/>
    </xf>
    <xf numFmtId="166" fontId="20" fillId="10" borderId="20" xfId="4" applyNumberFormat="1" applyFont="1" applyFill="1" applyBorder="1" applyAlignment="1" applyProtection="1">
      <alignment horizontal="right" vertical="center"/>
      <protection locked="0"/>
    </xf>
    <xf numFmtId="37" fontId="20" fillId="4" borderId="20" xfId="2" applyNumberFormat="1" applyFont="1" applyFill="1" applyBorder="1" applyAlignment="1">
      <alignment vertical="center" wrapText="1"/>
      <protection locked="0"/>
    </xf>
    <xf numFmtId="166" fontId="6" fillId="4" borderId="0" xfId="4" applyNumberFormat="1" applyFont="1" applyFill="1" applyBorder="1" applyAlignment="1" applyProtection="1">
      <alignment horizontal="right" vertical="center"/>
      <protection locked="0"/>
    </xf>
    <xf numFmtId="49" fontId="6" fillId="2" borderId="0" xfId="1" applyNumberFormat="1" applyFont="1" applyFill="1" applyAlignment="1" applyProtection="1">
      <alignment horizontal="left" vertical="center" wrapText="1"/>
      <protection locked="0"/>
    </xf>
    <xf numFmtId="3" fontId="11" fillId="2" borderId="0" xfId="1" applyNumberFormat="1" applyFont="1" applyFill="1" applyAlignment="1" applyProtection="1">
      <alignment vertical="center"/>
      <protection locked="0"/>
    </xf>
    <xf numFmtId="37" fontId="7" fillId="2" borderId="0" xfId="2" applyNumberFormat="1" applyFont="1" applyFill="1" applyAlignment="1">
      <alignment horizontal="right" vertical="center"/>
      <protection locked="0"/>
    </xf>
    <xf numFmtId="37" fontId="7" fillId="4" borderId="20" xfId="2" applyNumberFormat="1" applyFont="1" applyFill="1" applyBorder="1" applyAlignment="1">
      <alignment horizontal="left" vertical="center"/>
      <protection locked="0"/>
    </xf>
    <xf numFmtId="37" fontId="6" fillId="4" borderId="20" xfId="2" applyNumberFormat="1" applyFont="1" applyFill="1" applyBorder="1" applyAlignment="1">
      <alignment vertical="center" wrapText="1"/>
      <protection locked="0"/>
    </xf>
    <xf numFmtId="37" fontId="25" fillId="4" borderId="20" xfId="2" applyNumberFormat="1" applyFont="1" applyFill="1" applyBorder="1" applyAlignment="1">
      <alignment vertical="center" wrapText="1"/>
      <protection locked="0"/>
    </xf>
    <xf numFmtId="0" fontId="1" fillId="2" borderId="0" xfId="1" applyFont="1" applyFill="1" applyAlignment="1" applyProtection="1">
      <alignment vertical="center" wrapText="1"/>
      <protection locked="0"/>
    </xf>
    <xf numFmtId="166" fontId="26" fillId="4" borderId="0" xfId="4" applyNumberFormat="1" applyFont="1" applyFill="1" applyBorder="1" applyAlignment="1" applyProtection="1">
      <alignment horizontal="right" vertical="center"/>
      <protection locked="0"/>
    </xf>
    <xf numFmtId="37" fontId="26" fillId="4" borderId="0" xfId="2" applyNumberFormat="1" applyFont="1" applyFill="1" applyBorder="1" applyAlignment="1">
      <alignment vertical="center" wrapText="1"/>
      <protection locked="0"/>
    </xf>
    <xf numFmtId="0" fontId="16" fillId="7" borderId="5" xfId="1" applyFont="1" applyFill="1" applyBorder="1" applyAlignment="1" applyProtection="1">
      <alignment horizontal="center" vertical="center" wrapText="1"/>
      <protection locked="0"/>
    </xf>
    <xf numFmtId="0" fontId="16" fillId="7" borderId="5" xfId="1" applyFont="1" applyFill="1" applyBorder="1" applyAlignment="1" applyProtection="1">
      <alignment horizontal="left" vertical="center" wrapText="1"/>
      <protection locked="0"/>
    </xf>
    <xf numFmtId="3" fontId="7" fillId="4" borderId="0" xfId="1" applyNumberFormat="1" applyFont="1" applyFill="1" applyAlignment="1" applyProtection="1">
      <alignment horizontal="left" vertical="center" wrapText="1"/>
      <protection locked="0"/>
    </xf>
    <xf numFmtId="0" fontId="7" fillId="2" borderId="0" xfId="1" applyFont="1" applyFill="1" applyAlignment="1" applyProtection="1">
      <alignment horizontal="left" vertical="center" wrapText="1"/>
      <protection locked="0"/>
    </xf>
    <xf numFmtId="3" fontId="11" fillId="4" borderId="0" xfId="1" applyNumberFormat="1" applyFont="1" applyFill="1" applyAlignment="1" applyProtection="1">
      <alignment horizontal="center" vertical="center"/>
      <protection locked="0"/>
    </xf>
    <xf numFmtId="0" fontId="14" fillId="4" borderId="20" xfId="1" applyFont="1" applyFill="1" applyBorder="1" applyAlignment="1" applyProtection="1">
      <alignment vertical="center"/>
      <protection locked="0"/>
    </xf>
    <xf numFmtId="3" fontId="14" fillId="4" borderId="20" xfId="1" applyNumberFormat="1" applyFont="1" applyFill="1" applyBorder="1" applyAlignment="1" applyProtection="1">
      <alignment horizontal="left" vertical="center" wrapText="1"/>
      <protection locked="0"/>
    </xf>
    <xf numFmtId="0" fontId="28" fillId="2" borderId="0" xfId="1" applyFont="1" applyFill="1" applyAlignment="1" applyProtection="1">
      <alignment horizontal="left" vertical="center"/>
      <protection locked="0"/>
    </xf>
    <xf numFmtId="0" fontId="6" fillId="2" borderId="0" xfId="1" applyFont="1" applyFill="1" applyAlignment="1" applyProtection="1">
      <alignment horizontal="right" vertical="center"/>
      <protection locked="0"/>
    </xf>
    <xf numFmtId="0" fontId="12" fillId="6" borderId="1" xfId="1" applyFont="1" applyFill="1" applyBorder="1" applyAlignment="1" applyProtection="1">
      <alignment horizontal="right" vertical="center"/>
      <protection locked="0"/>
    </xf>
    <xf numFmtId="1" fontId="6" fillId="10" borderId="0" xfId="4" applyNumberFormat="1" applyFont="1" applyFill="1" applyBorder="1" applyAlignment="1" applyProtection="1">
      <alignment horizontal="right" vertical="center"/>
      <protection locked="0"/>
    </xf>
    <xf numFmtId="3" fontId="11" fillId="4" borderId="0" xfId="1" applyNumberFormat="1" applyFont="1" applyFill="1" applyAlignment="1" applyProtection="1">
      <alignment vertical="center" wrapText="1"/>
      <protection locked="0"/>
    </xf>
    <xf numFmtId="0" fontId="14" fillId="4" borderId="0" xfId="1" applyFont="1" applyFill="1" applyAlignment="1" applyProtection="1">
      <alignment vertical="center"/>
      <protection locked="0"/>
    </xf>
    <xf numFmtId="3" fontId="14" fillId="4" borderId="0" xfId="1" applyNumberFormat="1" applyFont="1" applyFill="1" applyAlignment="1" applyProtection="1">
      <alignment horizontal="left" vertical="center" wrapText="1"/>
      <protection locked="0"/>
    </xf>
    <xf numFmtId="3" fontId="14" fillId="4" borderId="0" xfId="1" applyNumberFormat="1" applyFont="1" applyFill="1" applyAlignment="1" applyProtection="1">
      <alignment horizontal="right" vertical="center" wrapText="1"/>
      <protection locked="0"/>
    </xf>
    <xf numFmtId="0" fontId="6" fillId="4" borderId="0" xfId="1" applyFont="1" applyFill="1" applyAlignment="1" applyProtection="1">
      <alignment vertical="center"/>
      <protection locked="0"/>
    </xf>
    <xf numFmtId="4" fontId="20" fillId="10" borderId="0" xfId="4" applyNumberFormat="1" applyFont="1" applyFill="1" applyAlignment="1" applyProtection="1">
      <alignment horizontal="right" vertical="center"/>
      <protection locked="0"/>
    </xf>
    <xf numFmtId="0" fontId="14" fillId="4" borderId="18" xfId="1" applyFont="1" applyFill="1" applyBorder="1" applyAlignment="1" applyProtection="1">
      <alignment vertical="center"/>
      <protection locked="0"/>
    </xf>
    <xf numFmtId="3" fontId="14" fillId="4" borderId="18" xfId="1" applyNumberFormat="1" applyFont="1" applyFill="1" applyBorder="1" applyAlignment="1" applyProtection="1">
      <alignment horizontal="left" vertical="center" wrapText="1"/>
      <protection locked="0"/>
    </xf>
    <xf numFmtId="0" fontId="14" fillId="4" borderId="22" xfId="1" applyFont="1" applyFill="1" applyBorder="1" applyAlignment="1" applyProtection="1">
      <alignment vertical="center"/>
      <protection locked="0"/>
    </xf>
    <xf numFmtId="3" fontId="14" fillId="4" borderId="22" xfId="1" applyNumberFormat="1" applyFont="1" applyFill="1" applyBorder="1" applyAlignment="1" applyProtection="1">
      <alignment horizontal="left" vertical="center" wrapText="1"/>
      <protection locked="0"/>
    </xf>
    <xf numFmtId="1" fontId="6" fillId="10" borderId="0" xfId="14" applyNumberFormat="1" applyFont="1" applyFill="1" applyBorder="1" applyAlignment="1" applyProtection="1">
      <alignment horizontal="right" vertical="center"/>
      <protection locked="0"/>
    </xf>
    <xf numFmtId="3" fontId="7" fillId="4" borderId="7" xfId="1" applyNumberFormat="1" applyFont="1" applyFill="1" applyBorder="1" applyAlignment="1" applyProtection="1">
      <alignment horizontal="left" vertical="center" wrapText="1"/>
      <protection locked="0"/>
    </xf>
    <xf numFmtId="0" fontId="7" fillId="2" borderId="7" xfId="1" applyFont="1" applyFill="1" applyBorder="1" applyAlignment="1" applyProtection="1">
      <alignment horizontal="left" vertical="center" wrapText="1"/>
      <protection locked="0"/>
    </xf>
    <xf numFmtId="0" fontId="14" fillId="4" borderId="2" xfId="1" applyFont="1" applyFill="1" applyBorder="1" applyAlignment="1" applyProtection="1">
      <alignment vertical="center"/>
      <protection locked="0"/>
    </xf>
    <xf numFmtId="3" fontId="14" fillId="4" borderId="2" xfId="1" applyNumberFormat="1" applyFont="1" applyFill="1" applyBorder="1" applyAlignment="1" applyProtection="1">
      <alignment horizontal="left" vertical="center" wrapText="1"/>
      <protection locked="0"/>
    </xf>
    <xf numFmtId="0" fontId="20" fillId="4" borderId="17" xfId="1" applyFont="1" applyFill="1" applyBorder="1" applyAlignment="1" applyProtection="1">
      <alignment vertical="center" wrapText="1"/>
      <protection locked="0"/>
    </xf>
    <xf numFmtId="3" fontId="20" fillId="4" borderId="17" xfId="1" applyNumberFormat="1" applyFont="1" applyFill="1" applyBorder="1" applyAlignment="1" applyProtection="1">
      <alignment horizontal="left" vertical="center" wrapText="1"/>
      <protection locked="0"/>
    </xf>
    <xf numFmtId="37" fontId="68" fillId="4" borderId="17" xfId="2" applyNumberFormat="1" applyFont="1" applyFill="1" applyBorder="1" applyAlignment="1">
      <alignment vertical="center" wrapText="1"/>
      <protection locked="0"/>
    </xf>
    <xf numFmtId="167" fontId="6" fillId="4" borderId="0" xfId="4" applyNumberFormat="1" applyFont="1" applyFill="1" applyBorder="1" applyAlignment="1" applyProtection="1">
      <alignment horizontal="right" vertical="center"/>
      <protection locked="0"/>
    </xf>
    <xf numFmtId="0" fontId="14" fillId="4" borderId="23" xfId="1" applyFont="1" applyFill="1" applyBorder="1" applyAlignment="1" applyProtection="1">
      <alignment vertical="center" wrapText="1"/>
      <protection locked="0"/>
    </xf>
    <xf numFmtId="3" fontId="14" fillId="4" borderId="23" xfId="1" applyNumberFormat="1" applyFont="1" applyFill="1" applyBorder="1" applyAlignment="1" applyProtection="1">
      <alignment horizontal="left" vertical="center" wrapText="1"/>
      <protection locked="0"/>
    </xf>
    <xf numFmtId="4" fontId="20" fillId="4" borderId="17" xfId="17" applyNumberFormat="1" applyFont="1" applyFill="1" applyBorder="1" applyAlignment="1" applyProtection="1">
      <alignment horizontal="right" vertical="center" wrapText="1"/>
      <protection locked="0"/>
    </xf>
    <xf numFmtId="4" fontId="14" fillId="4" borderId="0" xfId="17" applyNumberFormat="1" applyFont="1" applyFill="1" applyAlignment="1" applyProtection="1">
      <alignment horizontal="right" vertical="center" wrapText="1"/>
      <protection locked="0"/>
    </xf>
    <xf numFmtId="3" fontId="13" fillId="4" borderId="0" xfId="1" applyNumberFormat="1" applyFont="1" applyFill="1" applyAlignment="1" applyProtection="1">
      <alignment horizontal="left" vertical="center"/>
      <protection locked="0"/>
    </xf>
    <xf numFmtId="0" fontId="16" fillId="7" borderId="18" xfId="1" applyFont="1" applyFill="1" applyBorder="1" applyAlignment="1" applyProtection="1">
      <alignment vertical="center" wrapText="1"/>
      <protection locked="0"/>
    </xf>
    <xf numFmtId="0" fontId="16" fillId="7" borderId="18" xfId="1" applyFont="1" applyFill="1" applyBorder="1" applyAlignment="1" applyProtection="1">
      <alignment vertical="center"/>
      <protection locked="0"/>
    </xf>
    <xf numFmtId="0" fontId="16" fillId="7" borderId="18" xfId="1" applyFont="1" applyFill="1" applyBorder="1" applyAlignment="1" applyProtection="1">
      <alignment horizontal="center" vertical="center" wrapText="1"/>
      <protection locked="0"/>
    </xf>
    <xf numFmtId="0" fontId="16" fillId="7" borderId="18" xfId="1" applyFont="1" applyFill="1" applyBorder="1" applyAlignment="1" applyProtection="1">
      <alignment horizontal="left" vertical="center"/>
      <protection locked="0"/>
    </xf>
    <xf numFmtId="3" fontId="42" fillId="4" borderId="0" xfId="1" applyNumberFormat="1" applyFont="1" applyFill="1" applyAlignment="1" applyProtection="1">
      <alignment horizontal="left" vertical="center"/>
      <protection locked="0"/>
    </xf>
    <xf numFmtId="3" fontId="42" fillId="4" borderId="0" xfId="1" applyNumberFormat="1" applyFont="1" applyFill="1" applyAlignment="1" applyProtection="1">
      <alignment vertical="center" wrapText="1"/>
      <protection locked="0"/>
    </xf>
    <xf numFmtId="49" fontId="7" fillId="4" borderId="0" xfId="2" applyNumberFormat="1" applyFont="1" applyFill="1" applyBorder="1" applyAlignment="1">
      <alignment horizontal="center" vertical="center"/>
      <protection locked="0"/>
    </xf>
    <xf numFmtId="0" fontId="20" fillId="7" borderId="18" xfId="1" applyFont="1" applyFill="1" applyBorder="1" applyAlignment="1" applyProtection="1">
      <alignment vertical="center"/>
      <protection locked="0"/>
    </xf>
    <xf numFmtId="0" fontId="31" fillId="7" borderId="18" xfId="1" applyFont="1" applyFill="1" applyBorder="1" applyAlignment="1" applyProtection="1">
      <alignment horizontal="center" vertical="center" wrapText="1"/>
      <protection locked="0"/>
    </xf>
    <xf numFmtId="2" fontId="11" fillId="7" borderId="18" xfId="1" applyNumberFormat="1" applyFont="1" applyFill="1" applyBorder="1" applyAlignment="1" applyProtection="1">
      <alignment vertical="center"/>
      <protection locked="0"/>
    </xf>
    <xf numFmtId="170" fontId="20" fillId="7" borderId="18" xfId="4" applyNumberFormat="1" applyFont="1" applyFill="1" applyBorder="1" applyAlignment="1" applyProtection="1">
      <alignment horizontal="right" vertical="center"/>
      <protection locked="0"/>
    </xf>
    <xf numFmtId="0" fontId="20" fillId="4" borderId="17" xfId="1" applyFont="1" applyFill="1" applyBorder="1" applyAlignment="1" applyProtection="1">
      <alignment vertical="center"/>
      <protection locked="0"/>
    </xf>
    <xf numFmtId="173" fontId="20" fillId="4" borderId="17" xfId="4" applyNumberFormat="1" applyFont="1" applyFill="1" applyBorder="1" applyAlignment="1" applyProtection="1">
      <alignment horizontal="right" vertical="center"/>
      <protection locked="0"/>
    </xf>
    <xf numFmtId="169" fontId="53" fillId="2" borderId="0" xfId="1" applyNumberFormat="1" applyFont="1" applyFill="1" applyProtection="1">
      <protection locked="0"/>
    </xf>
    <xf numFmtId="3" fontId="42" fillId="4" borderId="0" xfId="1" applyNumberFormat="1" applyFont="1" applyFill="1" applyAlignment="1" applyProtection="1">
      <alignment vertical="center"/>
      <protection locked="0"/>
    </xf>
    <xf numFmtId="173" fontId="6" fillId="4" borderId="0" xfId="4" applyNumberFormat="1" applyFont="1" applyFill="1" applyBorder="1" applyAlignment="1" applyProtection="1">
      <alignment horizontal="right" vertical="center"/>
      <protection locked="0"/>
    </xf>
    <xf numFmtId="3" fontId="42" fillId="7" borderId="18" xfId="1" applyNumberFormat="1" applyFont="1" applyFill="1" applyBorder="1" applyAlignment="1" applyProtection="1">
      <alignment vertical="center"/>
      <protection locked="0"/>
    </xf>
    <xf numFmtId="0" fontId="6" fillId="7" borderId="18" xfId="1" applyFont="1" applyFill="1" applyBorder="1" applyAlignment="1" applyProtection="1">
      <alignment vertical="center"/>
      <protection locked="0"/>
    </xf>
    <xf numFmtId="170" fontId="6" fillId="7" borderId="18" xfId="4" applyNumberFormat="1" applyFont="1" applyFill="1" applyBorder="1" applyAlignment="1" applyProtection="1">
      <alignment horizontal="right" vertical="center"/>
      <protection locked="0"/>
    </xf>
    <xf numFmtId="37" fontId="7" fillId="7" borderId="18" xfId="2" applyNumberFormat="1" applyFont="1" applyFill="1" applyBorder="1" applyAlignment="1">
      <alignment vertical="center" wrapText="1"/>
      <protection locked="0"/>
    </xf>
    <xf numFmtId="0" fontId="6" fillId="4" borderId="17" xfId="1" applyFont="1" applyFill="1" applyBorder="1" applyAlignment="1" applyProtection="1">
      <alignment vertical="center"/>
      <protection locked="0"/>
    </xf>
    <xf numFmtId="173" fontId="6" fillId="4" borderId="17" xfId="4" applyNumberFormat="1" applyFont="1" applyFill="1" applyBorder="1" applyAlignment="1" applyProtection="1">
      <alignment horizontal="right" vertical="center"/>
      <protection locked="0"/>
    </xf>
    <xf numFmtId="0" fontId="1" fillId="2" borderId="0" xfId="1" applyFont="1" applyFill="1" applyProtection="1">
      <protection locked="0"/>
    </xf>
    <xf numFmtId="1" fontId="20" fillId="10" borderId="0" xfId="4" applyNumberFormat="1" applyFont="1" applyFill="1" applyAlignment="1" applyProtection="1">
      <alignment horizontal="right" vertical="center"/>
      <protection locked="0"/>
    </xf>
    <xf numFmtId="3" fontId="42" fillId="4" borderId="15" xfId="1" applyNumberFormat="1" applyFont="1" applyFill="1" applyBorder="1" applyAlignment="1" applyProtection="1">
      <alignment vertical="center" wrapText="1"/>
      <protection locked="0"/>
    </xf>
    <xf numFmtId="0" fontId="6" fillId="4" borderId="15" xfId="1" applyFont="1" applyFill="1" applyBorder="1" applyAlignment="1" applyProtection="1">
      <alignment vertical="center"/>
      <protection locked="0"/>
    </xf>
    <xf numFmtId="49" fontId="11" fillId="4" borderId="15" xfId="2" applyNumberFormat="1" applyFont="1" applyFill="1" applyBorder="1" applyAlignment="1">
      <alignment horizontal="center" vertical="center"/>
      <protection locked="0"/>
    </xf>
    <xf numFmtId="2" fontId="11" fillId="4" borderId="15" xfId="1" applyNumberFormat="1" applyFont="1" applyFill="1" applyBorder="1" applyAlignment="1" applyProtection="1">
      <alignment vertical="center"/>
      <protection locked="0"/>
    </xf>
    <xf numFmtId="173" fontId="6" fillId="4" borderId="15" xfId="4" applyNumberFormat="1" applyFont="1" applyFill="1" applyBorder="1" applyAlignment="1" applyProtection="1">
      <alignment horizontal="right" vertical="center"/>
      <protection locked="0"/>
    </xf>
    <xf numFmtId="37" fontId="60" fillId="4" borderId="15" xfId="2" applyNumberFormat="1" applyFont="1" applyFill="1" applyBorder="1" applyAlignment="1">
      <alignment vertical="center" wrapText="1"/>
      <protection locked="0"/>
    </xf>
    <xf numFmtId="0" fontId="6" fillId="4" borderId="20" xfId="1" applyFont="1" applyFill="1" applyBorder="1" applyAlignment="1" applyProtection="1">
      <alignment vertical="center"/>
      <protection locked="0"/>
    </xf>
    <xf numFmtId="2" fontId="11" fillId="4" borderId="20" xfId="1" applyNumberFormat="1" applyFont="1" applyFill="1" applyBorder="1" applyAlignment="1" applyProtection="1">
      <alignment vertical="center"/>
      <protection locked="0"/>
    </xf>
    <xf numFmtId="173" fontId="6" fillId="4" borderId="20" xfId="4" applyNumberFormat="1" applyFont="1" applyFill="1" applyBorder="1" applyAlignment="1" applyProtection="1">
      <alignment horizontal="right" vertical="center"/>
      <protection locked="0"/>
    </xf>
    <xf numFmtId="0" fontId="89" fillId="6" borderId="1" xfId="1" applyFont="1" applyFill="1" applyBorder="1" applyAlignment="1" applyProtection="1">
      <alignment horizontal="left" vertical="center"/>
      <protection locked="0"/>
    </xf>
    <xf numFmtId="3" fontId="11" fillId="4" borderId="18" xfId="1" applyNumberFormat="1" applyFont="1" applyFill="1" applyBorder="1" applyAlignment="1" applyProtection="1">
      <alignment vertical="center"/>
      <protection locked="0"/>
    </xf>
    <xf numFmtId="37" fontId="7" fillId="4" borderId="18" xfId="2" applyNumberFormat="1" applyFont="1" applyFill="1" applyBorder="1" applyAlignment="1">
      <alignment horizontal="left" vertical="center"/>
      <protection locked="0"/>
    </xf>
    <xf numFmtId="37" fontId="7" fillId="4" borderId="18" xfId="2" applyNumberFormat="1" applyFont="1" applyFill="1" applyBorder="1" applyAlignment="1">
      <alignment vertical="center" wrapText="1"/>
      <protection locked="0"/>
    </xf>
    <xf numFmtId="3" fontId="11" fillId="4" borderId="4" xfId="1" applyNumberFormat="1" applyFont="1" applyFill="1" applyBorder="1" applyAlignment="1" applyProtection="1">
      <alignment vertical="center"/>
      <protection locked="0"/>
    </xf>
    <xf numFmtId="37" fontId="7" fillId="4" borderId="4" xfId="2" applyNumberFormat="1" applyFont="1" applyFill="1" applyBorder="1" applyAlignment="1">
      <alignment horizontal="left" vertical="center"/>
      <protection locked="0"/>
    </xf>
    <xf numFmtId="170" fontId="6" fillId="10" borderId="6" xfId="4" applyNumberFormat="1" applyFont="1" applyFill="1" applyBorder="1" applyAlignment="1" applyProtection="1">
      <alignment horizontal="right" vertical="center"/>
      <protection locked="0"/>
    </xf>
    <xf numFmtId="37" fontId="7" fillId="4" borderId="4" xfId="2" applyNumberFormat="1" applyFont="1" applyFill="1" applyBorder="1" applyAlignment="1">
      <alignment vertical="center" wrapText="1"/>
      <protection locked="0"/>
    </xf>
    <xf numFmtId="0" fontId="12" fillId="6" borderId="1" xfId="1" applyFont="1" applyFill="1" applyBorder="1" applyAlignment="1" applyProtection="1">
      <alignment vertical="center" wrapText="1"/>
      <protection locked="0"/>
    </xf>
    <xf numFmtId="0" fontId="12" fillId="6" borderId="3" xfId="1" applyFont="1" applyFill="1" applyBorder="1" applyAlignment="1" applyProtection="1">
      <alignment horizontal="center" vertical="center"/>
      <protection locked="0"/>
    </xf>
    <xf numFmtId="0" fontId="12" fillId="7" borderId="5" xfId="1" applyFont="1" applyFill="1" applyBorder="1" applyAlignment="1" applyProtection="1">
      <alignment vertical="center"/>
      <protection locked="0"/>
    </xf>
    <xf numFmtId="0" fontId="12" fillId="7" borderId="5" xfId="1" applyFont="1" applyFill="1" applyBorder="1" applyAlignment="1" applyProtection="1">
      <alignment horizontal="right" vertical="center"/>
      <protection locked="0"/>
    </xf>
    <xf numFmtId="0" fontId="12" fillId="7" borderId="5" xfId="1" applyFont="1" applyFill="1" applyBorder="1" applyAlignment="1" applyProtection="1">
      <alignment horizontal="left" vertical="center" wrapText="1"/>
      <protection locked="0"/>
    </xf>
    <xf numFmtId="0" fontId="25" fillId="4" borderId="0" xfId="0" applyFont="1" applyFill="1" applyAlignment="1" applyProtection="1">
      <alignment vertical="center"/>
      <protection locked="0"/>
    </xf>
    <xf numFmtId="0" fontId="25" fillId="10" borderId="0" xfId="0" applyFont="1" applyFill="1" applyAlignment="1" applyProtection="1">
      <alignment vertical="center"/>
      <protection locked="0"/>
    </xf>
    <xf numFmtId="0" fontId="12" fillId="7" borderId="8" xfId="1" applyFont="1" applyFill="1" applyBorder="1" applyAlignment="1" applyProtection="1">
      <alignment vertical="center"/>
      <protection locked="0"/>
    </xf>
    <xf numFmtId="0" fontId="31" fillId="7" borderId="15" xfId="1" applyFont="1" applyFill="1" applyBorder="1" applyAlignment="1" applyProtection="1">
      <alignment horizontal="center" vertical="center" wrapText="1"/>
      <protection locked="0"/>
    </xf>
    <xf numFmtId="0" fontId="12" fillId="7" borderId="8" xfId="1" applyFont="1" applyFill="1" applyBorder="1" applyAlignment="1" applyProtection="1">
      <alignment horizontal="right" vertical="center"/>
      <protection locked="0"/>
    </xf>
    <xf numFmtId="0" fontId="16" fillId="7" borderId="8" xfId="1" applyFont="1" applyFill="1" applyBorder="1" applyAlignment="1" applyProtection="1">
      <alignment horizontal="center" vertical="center"/>
      <protection locked="0"/>
    </xf>
    <xf numFmtId="0" fontId="69" fillId="7" borderId="8" xfId="1" applyFont="1" applyFill="1" applyBorder="1" applyAlignment="1" applyProtection="1">
      <alignment horizontal="left" vertical="center" wrapText="1"/>
      <protection locked="0"/>
    </xf>
    <xf numFmtId="0" fontId="25" fillId="4" borderId="9" xfId="0" applyFont="1" applyFill="1" applyBorder="1" applyAlignment="1" applyProtection="1">
      <alignment vertical="center"/>
      <protection locked="0"/>
    </xf>
    <xf numFmtId="0" fontId="25" fillId="10" borderId="9" xfId="0" applyFont="1" applyFill="1" applyBorder="1" applyAlignment="1" applyProtection="1">
      <alignment vertical="center"/>
      <protection locked="0"/>
    </xf>
    <xf numFmtId="0" fontId="12" fillId="7" borderId="8" xfId="1" applyFont="1" applyFill="1" applyBorder="1" applyAlignment="1" applyProtection="1">
      <alignment horizontal="left" vertical="center"/>
      <protection locked="0"/>
    </xf>
    <xf numFmtId="0" fontId="12" fillId="7" borderId="8" xfId="1" applyFont="1" applyFill="1" applyBorder="1" applyAlignment="1" applyProtection="1">
      <alignment horizontal="left" vertical="center" wrapText="1"/>
      <protection locked="0"/>
    </xf>
    <xf numFmtId="0" fontId="48" fillId="4" borderId="0" xfId="0" applyFont="1" applyFill="1" applyProtection="1">
      <protection locked="0"/>
    </xf>
    <xf numFmtId="0" fontId="25" fillId="4" borderId="0" xfId="0" applyFont="1" applyFill="1" applyProtection="1">
      <protection locked="0"/>
    </xf>
    <xf numFmtId="0" fontId="17" fillId="2" borderId="0" xfId="1" applyFont="1" applyFill="1" applyAlignment="1" applyProtection="1">
      <alignment vertical="center"/>
      <protection locked="0"/>
    </xf>
    <xf numFmtId="0" fontId="29" fillId="2" borderId="0" xfId="1" applyFont="1" applyFill="1" applyAlignment="1" applyProtection="1">
      <alignment vertical="center"/>
      <protection locked="0"/>
    </xf>
    <xf numFmtId="0" fontId="4" fillId="2" borderId="0" xfId="1" applyFill="1" applyAlignment="1" applyProtection="1">
      <alignment vertical="center"/>
      <protection locked="0"/>
    </xf>
    <xf numFmtId="0" fontId="4" fillId="2" borderId="0" xfId="1" applyFill="1" applyAlignment="1" applyProtection="1">
      <alignment horizontal="right" vertical="center"/>
      <protection locked="0"/>
    </xf>
    <xf numFmtId="169" fontId="43" fillId="2" borderId="0" xfId="1" applyNumberFormat="1" applyFont="1" applyFill="1" applyProtection="1">
      <protection locked="0"/>
    </xf>
    <xf numFmtId="0" fontId="61" fillId="4" borderId="0" xfId="1" applyFont="1" applyFill="1" applyAlignment="1" applyProtection="1">
      <alignment vertical="center"/>
      <protection locked="0"/>
    </xf>
    <xf numFmtId="0" fontId="61" fillId="4" borderId="0" xfId="1" applyFont="1" applyFill="1" applyAlignment="1" applyProtection="1">
      <alignment horizontal="center" vertical="center"/>
      <protection locked="0"/>
    </xf>
    <xf numFmtId="0" fontId="23" fillId="2" borderId="0" xfId="1" applyFont="1" applyFill="1" applyAlignment="1" applyProtection="1">
      <alignment vertical="center" wrapText="1"/>
      <protection locked="0"/>
    </xf>
    <xf numFmtId="4" fontId="7" fillId="5" borderId="0" xfId="14" applyNumberFormat="1" applyFont="1" applyFill="1" applyBorder="1" applyAlignment="1" applyProtection="1">
      <alignment horizontal="right" vertical="center"/>
    </xf>
    <xf numFmtId="4" fontId="7" fillId="5" borderId="17" xfId="14" applyNumberFormat="1" applyFont="1" applyFill="1" applyBorder="1" applyAlignment="1" applyProtection="1">
      <alignment horizontal="right" vertical="center"/>
    </xf>
    <xf numFmtId="4" fontId="14" fillId="5" borderId="23" xfId="17" applyNumberFormat="1" applyFont="1" applyFill="1" applyBorder="1" applyAlignment="1">
      <alignment horizontal="right" vertical="center" wrapText="1"/>
    </xf>
    <xf numFmtId="4" fontId="14" fillId="5" borderId="9" xfId="17" applyNumberFormat="1" applyFont="1" applyFill="1" applyBorder="1" applyAlignment="1">
      <alignment horizontal="right" vertical="center" wrapText="1"/>
    </xf>
    <xf numFmtId="4" fontId="14" fillId="5" borderId="2" xfId="17" applyNumberFormat="1" applyFont="1" applyFill="1" applyBorder="1" applyAlignment="1">
      <alignment horizontal="right" vertical="center" wrapText="1"/>
    </xf>
    <xf numFmtId="4" fontId="20" fillId="5" borderId="17" xfId="17" applyNumberFormat="1" applyFont="1" applyFill="1" applyBorder="1" applyAlignment="1">
      <alignment horizontal="right" vertical="center" wrapText="1"/>
    </xf>
    <xf numFmtId="170" fontId="14" fillId="5" borderId="2" xfId="1" applyNumberFormat="1" applyFont="1" applyFill="1" applyBorder="1" applyAlignment="1">
      <alignment horizontal="right" vertical="center" wrapText="1"/>
    </xf>
    <xf numFmtId="0" fontId="4" fillId="2" borderId="0" xfId="1" applyFill="1" applyAlignment="1" applyProtection="1">
      <alignment vertical="center" wrapText="1"/>
      <protection locked="0"/>
    </xf>
    <xf numFmtId="0" fontId="4" fillId="2" borderId="0" xfId="1" applyFill="1" applyProtection="1">
      <protection locked="0"/>
    </xf>
    <xf numFmtId="37" fontId="7" fillId="4" borderId="20" xfId="2" applyNumberFormat="1" applyFont="1" applyFill="1" applyBorder="1" applyAlignment="1">
      <alignment vertical="center" wrapText="1"/>
      <protection locked="0"/>
    </xf>
    <xf numFmtId="0" fontId="14" fillId="4" borderId="9" xfId="1" applyFont="1" applyFill="1" applyBorder="1" applyAlignment="1" applyProtection="1">
      <alignment vertical="center"/>
      <protection locked="0"/>
    </xf>
    <xf numFmtId="3" fontId="14" fillId="4" borderId="9" xfId="1" applyNumberFormat="1" applyFont="1" applyFill="1" applyBorder="1" applyAlignment="1" applyProtection="1">
      <alignment horizontal="left" vertical="center" wrapText="1"/>
      <protection locked="0"/>
    </xf>
    <xf numFmtId="4" fontId="4" fillId="2" borderId="0" xfId="1" applyNumberFormat="1" applyFill="1" applyAlignment="1" applyProtection="1">
      <alignment vertical="center" wrapText="1"/>
      <protection locked="0"/>
    </xf>
    <xf numFmtId="0" fontId="74" fillId="2" borderId="0" xfId="1" applyFont="1" applyFill="1" applyAlignment="1" applyProtection="1">
      <alignment vertical="center"/>
      <protection locked="0"/>
    </xf>
    <xf numFmtId="0" fontId="75" fillId="2" borderId="0" xfId="1" applyFont="1" applyFill="1" applyAlignment="1" applyProtection="1">
      <alignment vertical="center"/>
      <protection locked="0"/>
    </xf>
    <xf numFmtId="3" fontId="6" fillId="4" borderId="9" xfId="1" applyNumberFormat="1" applyFont="1" applyFill="1" applyBorder="1" applyAlignment="1" applyProtection="1">
      <alignment vertical="center"/>
      <protection locked="0"/>
    </xf>
    <xf numFmtId="37" fontId="7" fillId="4" borderId="9" xfId="2" applyNumberFormat="1" applyFont="1" applyFill="1" applyBorder="1" applyAlignment="1">
      <alignment horizontal="left" vertical="center"/>
      <protection locked="0"/>
    </xf>
    <xf numFmtId="4" fontId="6" fillId="10" borderId="9" xfId="1" applyNumberFormat="1" applyFont="1" applyFill="1" applyBorder="1" applyAlignment="1" applyProtection="1">
      <alignment horizontal="right" vertical="center"/>
      <protection locked="0"/>
    </xf>
    <xf numFmtId="37" fontId="6" fillId="4" borderId="9" xfId="2" applyNumberFormat="1" applyFont="1" applyFill="1" applyBorder="1" applyAlignment="1">
      <alignment vertical="center" wrapText="1"/>
      <protection locked="0"/>
    </xf>
    <xf numFmtId="3" fontId="6" fillId="4" borderId="0" xfId="1" applyNumberFormat="1" applyFont="1" applyFill="1" applyAlignment="1" applyProtection="1">
      <alignment vertical="center"/>
      <protection locked="0"/>
    </xf>
    <xf numFmtId="0" fontId="6" fillId="2" borderId="6" xfId="1" applyFont="1" applyFill="1" applyBorder="1" applyAlignment="1" applyProtection="1">
      <alignment vertical="center"/>
      <protection locked="0"/>
    </xf>
    <xf numFmtId="4" fontId="20" fillId="10" borderId="20" xfId="4" applyNumberFormat="1" applyFont="1" applyFill="1" applyBorder="1" applyAlignment="1" applyProtection="1">
      <alignment horizontal="right" vertical="center"/>
      <protection locked="0"/>
    </xf>
    <xf numFmtId="0" fontId="16" fillId="7" borderId="18" xfId="1" applyFont="1" applyFill="1" applyBorder="1" applyAlignment="1" applyProtection="1">
      <alignment horizontal="center" vertical="center"/>
      <protection locked="0"/>
    </xf>
    <xf numFmtId="37" fontId="7" fillId="2" borderId="6" xfId="2" applyNumberFormat="1" applyFont="1" applyFill="1" applyBorder="1" applyAlignment="1">
      <alignment horizontal="right" vertical="center"/>
      <protection locked="0"/>
    </xf>
    <xf numFmtId="4" fontId="6" fillId="10" borderId="6" xfId="14" applyNumberFormat="1" applyFont="1" applyFill="1" applyBorder="1" applyAlignment="1" applyProtection="1">
      <alignment horizontal="right" vertical="center"/>
      <protection locked="0"/>
    </xf>
    <xf numFmtId="4" fontId="20" fillId="10" borderId="17" xfId="4" applyNumberFormat="1" applyFont="1" applyFill="1" applyBorder="1" applyAlignment="1" applyProtection="1">
      <alignment horizontal="right" vertical="center"/>
      <protection locked="0"/>
    </xf>
    <xf numFmtId="37" fontId="20" fillId="4" borderId="17" xfId="2" applyNumberFormat="1" applyFont="1" applyFill="1" applyBorder="1" applyAlignment="1">
      <alignment vertical="center" wrapText="1"/>
      <protection locked="0"/>
    </xf>
    <xf numFmtId="0" fontId="14" fillId="4" borderId="23" xfId="1" applyFont="1" applyFill="1" applyBorder="1" applyAlignment="1" applyProtection="1">
      <alignment vertical="center"/>
      <protection locked="0"/>
    </xf>
    <xf numFmtId="0" fontId="9" fillId="2" borderId="0" xfId="1" applyFont="1" applyFill="1" applyAlignment="1" applyProtection="1">
      <alignment vertical="center"/>
      <protection locked="0"/>
    </xf>
    <xf numFmtId="166" fontId="9" fillId="4" borderId="0" xfId="4" applyNumberFormat="1" applyFont="1" applyFill="1" applyBorder="1" applyAlignment="1" applyProtection="1">
      <alignment vertical="center"/>
      <protection locked="0"/>
    </xf>
    <xf numFmtId="3" fontId="42" fillId="4" borderId="17" xfId="1" applyNumberFormat="1" applyFont="1" applyFill="1" applyBorder="1" applyAlignment="1" applyProtection="1">
      <alignment vertical="center"/>
      <protection locked="0"/>
    </xf>
    <xf numFmtId="0" fontId="87" fillId="7" borderId="15" xfId="1" applyFont="1" applyFill="1" applyBorder="1" applyAlignment="1" applyProtection="1">
      <alignment horizontal="center" vertical="center" wrapText="1"/>
      <protection locked="0"/>
    </xf>
    <xf numFmtId="0" fontId="44" fillId="12" borderId="0" xfId="1" applyFont="1" applyFill="1"/>
    <xf numFmtId="0" fontId="4" fillId="12" borderId="0" xfId="1" applyFill="1"/>
    <xf numFmtId="0" fontId="44" fillId="4" borderId="0" xfId="1" applyFont="1" applyFill="1"/>
    <xf numFmtId="0" fontId="44" fillId="15" borderId="0" xfId="1" applyFont="1" applyFill="1"/>
    <xf numFmtId="169" fontId="55" fillId="14" borderId="10" xfId="0" applyNumberFormat="1" applyFont="1" applyFill="1" applyBorder="1"/>
    <xf numFmtId="169" fontId="55" fillId="13" borderId="10" xfId="0" applyNumberFormat="1" applyFont="1" applyFill="1" applyBorder="1"/>
    <xf numFmtId="169" fontId="55" fillId="8" borderId="10" xfId="0" applyNumberFormat="1" applyFont="1" applyFill="1" applyBorder="1"/>
    <xf numFmtId="1" fontId="4" fillId="2" borderId="0" xfId="1" applyNumberFormat="1" applyFill="1"/>
    <xf numFmtId="169" fontId="55" fillId="14" borderId="20" xfId="0" applyNumberFormat="1" applyFont="1" applyFill="1" applyBorder="1"/>
    <xf numFmtId="169" fontId="55" fillId="13" borderId="20" xfId="0" applyNumberFormat="1" applyFont="1" applyFill="1" applyBorder="1"/>
    <xf numFmtId="169" fontId="55" fillId="8" borderId="20" xfId="0" applyNumberFormat="1" applyFont="1" applyFill="1" applyBorder="1"/>
    <xf numFmtId="0" fontId="1" fillId="19" borderId="0" xfId="1" applyFont="1" applyFill="1"/>
    <xf numFmtId="169" fontId="55" fillId="14" borderId="18" xfId="0" applyNumberFormat="1" applyFont="1" applyFill="1" applyBorder="1"/>
    <xf numFmtId="169" fontId="55" fillId="13" borderId="18" xfId="0" applyNumberFormat="1" applyFont="1" applyFill="1" applyBorder="1"/>
    <xf numFmtId="169" fontId="55" fillId="8" borderId="18" xfId="0" applyNumberFormat="1" applyFont="1" applyFill="1" applyBorder="1"/>
    <xf numFmtId="169" fontId="55" fillId="14" borderId="21" xfId="0" applyNumberFormat="1" applyFont="1" applyFill="1" applyBorder="1"/>
    <xf numFmtId="169" fontId="55" fillId="13" borderId="21" xfId="0" applyNumberFormat="1" applyFont="1" applyFill="1" applyBorder="1"/>
    <xf numFmtId="169" fontId="55" fillId="8" borderId="21" xfId="0" applyNumberFormat="1" applyFont="1" applyFill="1" applyBorder="1"/>
    <xf numFmtId="169" fontId="73" fillId="8" borderId="0" xfId="0" applyNumberFormat="1" applyFont="1" applyFill="1" applyAlignment="1">
      <alignment horizontal="center"/>
    </xf>
    <xf numFmtId="169" fontId="4" fillId="2" borderId="0" xfId="1" applyNumberFormat="1" applyFill="1"/>
    <xf numFmtId="0" fontId="53" fillId="2" borderId="10" xfId="1" applyFont="1" applyFill="1" applyBorder="1"/>
    <xf numFmtId="169" fontId="58" fillId="8" borderId="10" xfId="1" applyNumberFormat="1" applyFont="1" applyFill="1" applyBorder="1"/>
    <xf numFmtId="169" fontId="58" fillId="4" borderId="0" xfId="1" applyNumberFormat="1" applyFont="1" applyFill="1"/>
    <xf numFmtId="170" fontId="14" fillId="5" borderId="9" xfId="1" applyNumberFormat="1" applyFont="1" applyFill="1" applyBorder="1" applyAlignment="1">
      <alignment horizontal="right" vertical="center" wrapText="1"/>
    </xf>
    <xf numFmtId="1" fontId="11" fillId="4" borderId="10" xfId="1" applyNumberFormat="1" applyFont="1" applyFill="1" applyBorder="1" applyAlignment="1" applyProtection="1">
      <alignment horizontal="left" vertical="center" wrapText="1"/>
      <protection locked="0"/>
    </xf>
    <xf numFmtId="37" fontId="68" fillId="4" borderId="20" xfId="2" applyNumberFormat="1" applyFont="1" applyFill="1" applyBorder="1" applyAlignment="1">
      <alignment horizontal="left" vertical="center" wrapText="1"/>
      <protection locked="0"/>
    </xf>
    <xf numFmtId="0" fontId="50" fillId="4" borderId="0" xfId="0" applyFont="1" applyFill="1" applyAlignment="1" applyProtection="1">
      <alignment horizontal="left" wrapText="1"/>
      <protection locked="0"/>
    </xf>
    <xf numFmtId="0" fontId="54" fillId="5" borderId="0" xfId="0" applyFont="1" applyFill="1" applyAlignment="1">
      <alignment horizontal="center"/>
    </xf>
    <xf numFmtId="49" fontId="11" fillId="5" borderId="0" xfId="2" applyNumberFormat="1" applyFont="1" applyFill="1" applyAlignment="1" applyProtection="1">
      <alignment horizontal="center" vertical="center"/>
    </xf>
    <xf numFmtId="0" fontId="30" fillId="12" borderId="13" xfId="1" applyFont="1" applyFill="1" applyBorder="1" applyAlignment="1">
      <alignment horizontal="center" vertical="center"/>
    </xf>
    <xf numFmtId="0" fontId="30" fillId="12" borderId="14" xfId="1" applyFont="1" applyFill="1" applyBorder="1" applyAlignment="1">
      <alignment horizontal="center" vertical="center"/>
    </xf>
    <xf numFmtId="0" fontId="30" fillId="7" borderId="12" xfId="1" applyFont="1" applyFill="1" applyBorder="1" applyAlignment="1">
      <alignment horizontal="center" vertical="center"/>
    </xf>
    <xf numFmtId="0" fontId="30" fillId="7" borderId="13" xfId="1" applyFont="1" applyFill="1" applyBorder="1" applyAlignment="1">
      <alignment horizontal="center" vertical="center"/>
    </xf>
    <xf numFmtId="0" fontId="30" fillId="7" borderId="14" xfId="1" applyFont="1" applyFill="1" applyBorder="1" applyAlignment="1">
      <alignment horizontal="center" vertical="center"/>
    </xf>
    <xf numFmtId="3" fontId="42" fillId="4" borderId="0" xfId="1" applyNumberFormat="1" applyFont="1" applyFill="1" applyAlignment="1">
      <alignment horizontal="left" vertical="center" wrapText="1"/>
    </xf>
    <xf numFmtId="176" fontId="80" fillId="0" borderId="11" xfId="14" applyNumberFormat="1" applyFont="1" applyBorder="1" applyAlignment="1" applyProtection="1">
      <alignment horizontal="center" vertical="center"/>
    </xf>
    <xf numFmtId="170" fontId="80" fillId="0" borderId="11" xfId="18" applyNumberFormat="1" applyFont="1" applyBorder="1" applyAlignment="1" applyProtection="1">
      <alignment horizontal="center" vertical="center"/>
    </xf>
    <xf numFmtId="37" fontId="80" fillId="0" borderId="11" xfId="0" applyNumberFormat="1" applyFont="1" applyBorder="1" applyAlignment="1">
      <alignment horizontal="center" vertical="center"/>
    </xf>
    <xf numFmtId="0" fontId="92" fillId="0" borderId="0" xfId="0" applyFont="1" applyAlignment="1">
      <alignment horizontal="left" vertical="center" wrapText="1"/>
    </xf>
  </cellXfs>
  <cellStyles count="28">
    <cellStyle name="Comma 2" xfId="4" xr:uid="{00000000-0005-0000-0000-000000000000}"/>
    <cellStyle name="Currency 2" xfId="2" xr:uid="{00000000-0005-0000-0000-000001000000}"/>
    <cellStyle name="Currency 3" xfId="13" xr:uid="{00000000-0005-0000-0000-000002000000}"/>
    <cellStyle name="Currency 3 2" xfId="19" xr:uid="{AD1BA0E1-0B72-4900-B537-ACE64970A51B}"/>
    <cellStyle name="Čárka" xfId="18" builtinId="3"/>
    <cellStyle name="Čárka 2" xfId="20" xr:uid="{B067CF3A-55BF-4C8A-98FE-A629DB04B50C}"/>
    <cellStyle name="Měna 2" xfId="16" xr:uid="{00000000-0005-0000-0000-000003000000}"/>
    <cellStyle name="Měna 2 2" xfId="21" xr:uid="{3F192230-2DD7-4F7A-9AB0-6BEFA2B8570C}"/>
    <cellStyle name="měny 2 29" xfId="10" xr:uid="{00000000-0005-0000-0000-000004000000}"/>
    <cellStyle name="měny 2 29 2" xfId="22" xr:uid="{8E3F6AE7-E376-4FE1-8640-A366E53D86E1}"/>
    <cellStyle name="měny 2 31" xfId="11" xr:uid="{00000000-0005-0000-0000-000005000000}"/>
    <cellStyle name="měny 2 31 2" xfId="23" xr:uid="{5AC614DD-39E6-46C9-86DB-5DC30250AD3C}"/>
    <cellStyle name="měny 2 32" xfId="12" xr:uid="{00000000-0005-0000-0000-000006000000}"/>
    <cellStyle name="měny 2 32 2" xfId="24" xr:uid="{173B1C14-69D0-4834-B79B-94EB3EE9AA9C}"/>
    <cellStyle name="měny 2 5" xfId="8" xr:uid="{00000000-0005-0000-0000-000007000000}"/>
    <cellStyle name="měny 2 5 2" xfId="25" xr:uid="{F4C88B47-2BA8-4930-9C24-9E810A693C83}"/>
    <cellStyle name="měny 2 6" xfId="9" xr:uid="{00000000-0005-0000-0000-000008000000}"/>
    <cellStyle name="měny 2 6 2" xfId="26" xr:uid="{6E73F120-F032-4A85-B27C-092DBE2B1654}"/>
    <cellStyle name="Normal 2" xfId="1" xr:uid="{00000000-0005-0000-0000-00000A000000}"/>
    <cellStyle name="Normal 2 2" xfId="17" xr:uid="{00000000-0005-0000-0000-00000B000000}"/>
    <cellStyle name="Normal 3" xfId="3" xr:uid="{00000000-0005-0000-0000-00000C000000}"/>
    <cellStyle name="Normal 3 2" xfId="27" xr:uid="{E3E42693-6CF0-45F3-B64A-98BD8859DF6D}"/>
    <cellStyle name="normal 4" xfId="6" xr:uid="{00000000-0005-0000-0000-00000D000000}"/>
    <cellStyle name="Normální" xfId="0" builtinId="0"/>
    <cellStyle name="Normální 2" xfId="15" xr:uid="{00000000-0005-0000-0000-00000E000000}"/>
    <cellStyle name="normální 2 4" xfId="7" xr:uid="{00000000-0005-0000-0000-00000F000000}"/>
    <cellStyle name="Percent 2" xfId="5" xr:uid="{00000000-0005-0000-0000-000011000000}"/>
    <cellStyle name="Procenta" xfId="14" builtinId="5"/>
  </cellStyles>
  <dxfs count="11">
    <dxf>
      <font>
        <b/>
        <i val="0"/>
        <color rgb="FF00B050"/>
      </font>
      <fill>
        <patternFill>
          <bgColor theme="9" tint="0.59996337778862885"/>
        </patternFill>
      </fill>
    </dxf>
    <dxf>
      <font>
        <b/>
        <i val="0"/>
        <color rgb="FF00B050"/>
      </font>
      <fill>
        <patternFill>
          <bgColor theme="9" tint="0.59996337778862885"/>
        </patternFill>
      </fill>
    </dxf>
    <dxf>
      <font>
        <b/>
        <i val="0"/>
        <color auto="1"/>
      </font>
    </dxf>
    <dxf>
      <font>
        <b/>
        <i val="0"/>
        <color rgb="FF00B050"/>
      </font>
    </dxf>
    <dxf>
      <font>
        <b/>
        <i val="0"/>
        <color rgb="FFFF0000"/>
      </font>
    </dxf>
    <dxf>
      <font>
        <b/>
        <i val="0"/>
        <strike val="0"/>
        <color rgb="FF00B050"/>
      </font>
    </dxf>
    <dxf>
      <font>
        <b/>
        <i val="0"/>
        <color rgb="FFFF0000"/>
      </font>
    </dxf>
    <dxf>
      <font>
        <b/>
        <i val="0"/>
        <color auto="1"/>
      </font>
    </dxf>
    <dxf>
      <font>
        <b/>
        <i val="0"/>
        <strike val="0"/>
        <color rgb="FF00B050"/>
      </font>
    </dxf>
    <dxf>
      <font>
        <b/>
        <i val="0"/>
        <color rgb="FFFF0000"/>
      </font>
    </dxf>
    <dxf>
      <font>
        <b/>
        <i val="0"/>
        <color auto="1"/>
      </font>
    </dxf>
  </dxfs>
  <tableStyles count="0" defaultTableStyle="TableStyleMedium2" defaultPivotStyle="PivotStyleLight16"/>
  <colors>
    <mruColors>
      <color rgb="FFCCFFCC"/>
      <color rgb="FFFFCCFF"/>
      <color rgb="FF996633"/>
      <color rgb="FF66FFFF"/>
      <color rgb="FFCC99FF"/>
      <color rgb="FFFF66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r>
              <a:rPr lang="cs-CZ"/>
              <a:t>Total</a:t>
            </a:r>
            <a:r>
              <a:rPr lang="cs-CZ" baseline="0"/>
              <a:t> annual costs</a:t>
            </a:r>
            <a:endParaRPr lang="cs-CZ"/>
          </a:p>
        </c:rich>
      </c:tx>
      <c:layout>
        <c:manualLayout>
          <c:xMode val="edge"/>
          <c:yMode val="edge"/>
          <c:x val="0.25103040244969382"/>
          <c:y val="3.2407407407407406E-2"/>
        </c:manualLayout>
      </c:layout>
      <c:overlay val="1"/>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endParaRPr lang="cs-CZ"/>
        </a:p>
      </c:txPr>
    </c:title>
    <c:autoTitleDeleted val="0"/>
    <c:plotArea>
      <c:layout>
        <c:manualLayout>
          <c:layoutTarget val="inner"/>
          <c:xMode val="edge"/>
          <c:yMode val="edge"/>
          <c:x val="0.17421633271450909"/>
          <c:y val="0.16351695233594304"/>
          <c:w val="0.60054440693427436"/>
          <c:h val="0.61758020261511049"/>
        </c:manualLayout>
      </c:layout>
      <c:barChart>
        <c:barDir val="col"/>
        <c:grouping val="clustered"/>
        <c:varyColors val="0"/>
        <c:ser>
          <c:idx val="0"/>
          <c:order val="0"/>
          <c:tx>
            <c:strRef>
              <c:f>'4.TCO Calculation &amp; Comparsion'!$C$5</c:f>
              <c:strCache>
                <c:ptCount val="1"/>
                <c:pt idx="0">
                  <c:v>Cost of on-premise solution</c:v>
                </c:pt>
              </c:strCache>
            </c:strRef>
          </c:tx>
          <c:spPr>
            <a:solidFill>
              <a:srgbClr val="996633"/>
            </a:solidFill>
            <a:ln>
              <a:noFill/>
            </a:ln>
            <a:effectLst/>
          </c:spPr>
          <c:invertIfNegative val="0"/>
          <c:val>
            <c:numRef>
              <c:f>'4.TCO Calculation &amp; Comparsion'!$E$139:$I$139</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0-E8E8-4C56-9E82-DDBF121D6993}"/>
            </c:ext>
          </c:extLst>
        </c:ser>
        <c:ser>
          <c:idx val="2"/>
          <c:order val="1"/>
          <c:tx>
            <c:strRef>
              <c:f>'4.TCO Calculation &amp; Comparsion'!$C$6</c:f>
              <c:strCache>
                <c:ptCount val="1"/>
                <c:pt idx="0">
                  <c:v>Cost of cloud solution</c:v>
                </c:pt>
              </c:strCache>
            </c:strRef>
          </c:tx>
          <c:spPr>
            <a:solidFill>
              <a:srgbClr val="66FFFF"/>
            </a:solidFill>
            <a:ln>
              <a:noFill/>
            </a:ln>
            <a:effectLst/>
          </c:spPr>
          <c:invertIfNegative val="0"/>
          <c:val>
            <c:numRef>
              <c:f>'4.TCO Calculation &amp; Comparsion'!$E$221:$I$221</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1-E8E8-4C56-9E82-DDBF121D6993}"/>
            </c:ext>
          </c:extLst>
        </c:ser>
        <c:dLbls>
          <c:showLegendKey val="0"/>
          <c:showVal val="0"/>
          <c:showCatName val="0"/>
          <c:showSerName val="0"/>
          <c:showPercent val="0"/>
          <c:showBubbleSize val="0"/>
        </c:dLbls>
        <c:gapWidth val="150"/>
        <c:axId val="99777544"/>
        <c:axId val="150003160"/>
      </c:barChart>
      <c:catAx>
        <c:axId val="99777544"/>
        <c:scaling>
          <c:orientation val="minMax"/>
        </c:scaling>
        <c:delete val="0"/>
        <c:axPos val="b"/>
        <c:majorGridlines>
          <c:spPr>
            <a:ln w="6350" cap="flat" cmpd="sng" algn="ctr">
              <a:solidFill>
                <a:schemeClr val="tx1">
                  <a:tint val="75000"/>
                </a:schemeClr>
              </a:solidFill>
              <a:prstDash val="solid"/>
              <a:round/>
            </a:ln>
            <a:effectLst/>
          </c:spPr>
        </c:majorGridlines>
        <c:title>
          <c:tx>
            <c:rich>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cs-CZ"/>
                  <a:t>Rok</a:t>
                </a:r>
              </a:p>
            </c:rich>
          </c:tx>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cs-CZ"/>
            </a:p>
          </c:txPr>
        </c:title>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crossAx val="150003160"/>
        <c:crosses val="autoZero"/>
        <c:auto val="1"/>
        <c:lblAlgn val="ctr"/>
        <c:lblOffset val="100"/>
        <c:noMultiLvlLbl val="0"/>
      </c:catAx>
      <c:valAx>
        <c:axId val="150003160"/>
        <c:scaling>
          <c:orientation val="minMax"/>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cs-CZ"/>
                  <a:t>Amount in Currency (</a:t>
                </a:r>
                <a:r>
                  <a:rPr lang="cs-CZ" sz="1000" b="1" i="0" u="none" strike="noStrike" baseline="0"/>
                  <a:t>thousand)</a:t>
                </a:r>
                <a:endParaRPr lang="cs-CZ"/>
              </a:p>
            </c:rich>
          </c:tx>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cs-CZ"/>
            </a:p>
          </c:txPr>
        </c:title>
        <c:numFmt formatCode="#,##0_);\(#,##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crossAx val="99777544"/>
        <c:crosses val="autoZero"/>
        <c:crossBetween val="between"/>
      </c:valAx>
      <c:spPr>
        <a:solidFill>
          <a:schemeClr val="bg1"/>
        </a:solidFill>
        <a:ln>
          <a:noFill/>
        </a:ln>
        <a:effectLst/>
      </c:spPr>
    </c:plotArea>
    <c:legend>
      <c:legendPos val="r"/>
      <c:layout>
        <c:manualLayout>
          <c:xMode val="edge"/>
          <c:yMode val="edge"/>
          <c:x val="0.77708486439195101"/>
          <c:y val="0.16319517351997667"/>
          <c:w val="0.18958377077865263"/>
          <c:h val="0.3923625692621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cs-CZ"/>
    </a:p>
  </c:txPr>
  <c:printSettings>
    <c:headerFooter/>
    <c:pageMargins b="0.75000000000000433" l="0.70000000000000129" r="0.70000000000000129" t="0.75000000000000433" header="0.30000000000000016" footer="0.30000000000000016"/>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cs-CZ"/>
              <a:t>Annual</a:t>
            </a:r>
            <a:r>
              <a:rPr lang="cs-CZ" baseline="0"/>
              <a:t> costs per user</a:t>
            </a:r>
            <a:endParaRPr lang="cs-CZ"/>
          </a:p>
        </c:rich>
      </c:tx>
      <c:layout>
        <c:manualLayout>
          <c:xMode val="edge"/>
          <c:yMode val="edge"/>
          <c:x val="0.25103040244969382"/>
          <c:y val="3.2407407407407406E-2"/>
        </c:manualLayout>
      </c:layout>
      <c:overlay val="1"/>
      <c:spPr>
        <a:noFill/>
        <a:ln w="25400">
          <a:noFill/>
        </a:ln>
      </c:spPr>
    </c:title>
    <c:autoTitleDeleted val="0"/>
    <c:plotArea>
      <c:layout>
        <c:manualLayout>
          <c:layoutTarget val="inner"/>
          <c:xMode val="edge"/>
          <c:yMode val="edge"/>
          <c:x val="0.17421633271450909"/>
          <c:y val="0.16351695233594304"/>
          <c:w val="0.60054440693427436"/>
          <c:h val="0.61758020261511049"/>
        </c:manualLayout>
      </c:layout>
      <c:barChart>
        <c:barDir val="col"/>
        <c:grouping val="clustered"/>
        <c:varyColors val="0"/>
        <c:ser>
          <c:idx val="0"/>
          <c:order val="0"/>
          <c:tx>
            <c:strRef>
              <c:f>'4.TCO Calculation &amp; Comparsion'!$C$5</c:f>
              <c:strCache>
                <c:ptCount val="1"/>
                <c:pt idx="0">
                  <c:v>Cost of on-premise solution</c:v>
                </c:pt>
              </c:strCache>
            </c:strRef>
          </c:tx>
          <c:spPr>
            <a:solidFill>
              <a:srgbClr val="996633"/>
            </a:solidFill>
          </c:spPr>
          <c:invertIfNegative val="0"/>
          <c:val>
            <c:numRef>
              <c:f>'4.TCO Calculation &amp; Comparsion'!$E$140:$I$140</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0-597D-477F-930C-9DE69029E4AA}"/>
            </c:ext>
          </c:extLst>
        </c:ser>
        <c:ser>
          <c:idx val="2"/>
          <c:order val="1"/>
          <c:tx>
            <c:strRef>
              <c:f>'4.TCO Calculation &amp; Comparsion'!$C$6</c:f>
              <c:strCache>
                <c:ptCount val="1"/>
                <c:pt idx="0">
                  <c:v>Cost of cloud solution</c:v>
                </c:pt>
              </c:strCache>
            </c:strRef>
          </c:tx>
          <c:spPr>
            <a:solidFill>
              <a:srgbClr val="66FFFF"/>
            </a:solidFill>
          </c:spPr>
          <c:invertIfNegative val="0"/>
          <c:val>
            <c:numRef>
              <c:f>'4.TCO Calculation &amp; Comparsion'!$E$222:$I$222</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1-597D-477F-930C-9DE69029E4AA}"/>
            </c:ext>
          </c:extLst>
        </c:ser>
        <c:dLbls>
          <c:showLegendKey val="0"/>
          <c:showVal val="0"/>
          <c:showCatName val="0"/>
          <c:showSerName val="0"/>
          <c:showPercent val="0"/>
          <c:showBubbleSize val="0"/>
        </c:dLbls>
        <c:gapWidth val="150"/>
        <c:axId val="150778416"/>
        <c:axId val="150233608"/>
      </c:barChart>
      <c:catAx>
        <c:axId val="15077841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cs-CZ"/>
                  <a:t>Rok</a:t>
                </a:r>
              </a:p>
            </c:rich>
          </c:tx>
          <c:overlay val="0"/>
          <c:spPr>
            <a:noFill/>
            <a:ln w="25400">
              <a:noFill/>
            </a:ln>
          </c:spPr>
        </c:title>
        <c:numFmt formatCode="General" sourceLinked="1"/>
        <c:majorTickMark val="out"/>
        <c:minorTickMark val="none"/>
        <c:tickLblPos val="nextTo"/>
        <c:crossAx val="150233608"/>
        <c:crosses val="autoZero"/>
        <c:auto val="1"/>
        <c:lblAlgn val="ctr"/>
        <c:lblOffset val="100"/>
        <c:noMultiLvlLbl val="0"/>
      </c:catAx>
      <c:valAx>
        <c:axId val="15023360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cs-CZ"/>
                  <a:t>Amount</a:t>
                </a:r>
                <a:r>
                  <a:rPr lang="cs-CZ" baseline="0"/>
                  <a:t> in Currency </a:t>
                </a:r>
                <a:endParaRPr lang="cs-CZ"/>
              </a:p>
            </c:rich>
          </c:tx>
          <c:overlay val="0"/>
          <c:spPr>
            <a:noFill/>
            <a:ln w="25400">
              <a:noFill/>
            </a:ln>
          </c:spPr>
        </c:title>
        <c:numFmt formatCode="#,##0_);\(#,##0\)" sourceLinked="1"/>
        <c:majorTickMark val="out"/>
        <c:minorTickMark val="none"/>
        <c:tickLblPos val="nextTo"/>
        <c:crossAx val="150778416"/>
        <c:crosses val="autoZero"/>
        <c:crossBetween val="between"/>
      </c:valAx>
    </c:plotArea>
    <c:legend>
      <c:legendPos val="r"/>
      <c:layout>
        <c:manualLayout>
          <c:xMode val="edge"/>
          <c:yMode val="edge"/>
          <c:x val="0.77708486439195101"/>
          <c:y val="0.16319517351997667"/>
          <c:w val="0.18958377077865263"/>
          <c:h val="0.3923625692621755"/>
        </c:manualLayout>
      </c:layout>
      <c:overlay val="0"/>
    </c:legend>
    <c:plotVisOnly val="1"/>
    <c:dispBlanksAs val="gap"/>
    <c:showDLblsOverMax val="0"/>
  </c:chart>
  <c:printSettings>
    <c:headerFooter/>
    <c:pageMargins b="0.75000000000000433" l="0.70000000000000129" r="0.70000000000000129" t="0.75000000000000433" header="0.30000000000000016" footer="0.30000000000000016"/>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r>
              <a:rPr lang="cs-CZ"/>
              <a:t>Total</a:t>
            </a:r>
            <a:r>
              <a:rPr lang="cs-CZ" baseline="0"/>
              <a:t> TCO for the project</a:t>
            </a:r>
            <a:endParaRPr lang="cs-CZ"/>
          </a:p>
        </c:rich>
      </c:tx>
      <c:layout>
        <c:manualLayout>
          <c:xMode val="edge"/>
          <c:yMode val="edge"/>
          <c:x val="0.25103040244969382"/>
          <c:y val="3.2407407407407406E-2"/>
        </c:manualLayout>
      </c:layout>
      <c:overlay val="1"/>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endParaRPr lang="cs-CZ"/>
        </a:p>
      </c:txPr>
    </c:title>
    <c:autoTitleDeleted val="0"/>
    <c:plotArea>
      <c:layout>
        <c:manualLayout>
          <c:layoutTarget val="inner"/>
          <c:xMode val="edge"/>
          <c:yMode val="edge"/>
          <c:x val="0.17421633271450909"/>
          <c:y val="0.16351695233594304"/>
          <c:w val="0.60054440693427436"/>
          <c:h val="0.61758020261511049"/>
        </c:manualLayout>
      </c:layout>
      <c:barChart>
        <c:barDir val="col"/>
        <c:grouping val="clustered"/>
        <c:varyColors val="0"/>
        <c:ser>
          <c:idx val="0"/>
          <c:order val="0"/>
          <c:tx>
            <c:strRef>
              <c:f>'4.TCO Calculation &amp; Comparsion'!$C$5</c:f>
              <c:strCache>
                <c:ptCount val="1"/>
                <c:pt idx="0">
                  <c:v>Cost of on-premise solution</c:v>
                </c:pt>
              </c:strCache>
            </c:strRef>
          </c:tx>
          <c:spPr>
            <a:solidFill>
              <a:srgbClr val="996633"/>
            </a:solidFill>
            <a:ln>
              <a:noFill/>
            </a:ln>
            <a:effectLst/>
          </c:spPr>
          <c:invertIfNegative val="0"/>
          <c:cat>
            <c:numRef>
              <c:f>'4.TCO Calculation &amp; Comparsion'!$K$4</c:f>
              <c:numCache>
                <c:formatCode>General</c:formatCode>
                <c:ptCount val="1"/>
                <c:pt idx="0">
                  <c:v>5</c:v>
                </c:pt>
              </c:numCache>
            </c:numRef>
          </c:cat>
          <c:val>
            <c:numRef>
              <c:f>'4.TCO Calculation &amp; Comparsion'!$J$139</c:f>
              <c:numCache>
                <c:formatCode>#,##0_);\(#,##0\)</c:formatCode>
                <c:ptCount val="1"/>
                <c:pt idx="0">
                  <c:v>0</c:v>
                </c:pt>
              </c:numCache>
            </c:numRef>
          </c:val>
          <c:extLst>
            <c:ext xmlns:c16="http://schemas.microsoft.com/office/drawing/2014/chart" uri="{C3380CC4-5D6E-409C-BE32-E72D297353CC}">
              <c16:uniqueId val="{00000000-C5DC-4C4E-A3F5-B1D0E9269A54}"/>
            </c:ext>
          </c:extLst>
        </c:ser>
        <c:ser>
          <c:idx val="2"/>
          <c:order val="1"/>
          <c:tx>
            <c:strRef>
              <c:f>'4.TCO Calculation &amp; Comparsion'!$C$6</c:f>
              <c:strCache>
                <c:ptCount val="1"/>
                <c:pt idx="0">
                  <c:v>Cost of cloud solution</c:v>
                </c:pt>
              </c:strCache>
            </c:strRef>
          </c:tx>
          <c:spPr>
            <a:solidFill>
              <a:srgbClr val="66FFFF"/>
            </a:solidFill>
            <a:ln>
              <a:noFill/>
            </a:ln>
            <a:effectLst/>
          </c:spPr>
          <c:invertIfNegative val="0"/>
          <c:cat>
            <c:numRef>
              <c:f>'4.TCO Calculation &amp; Comparsion'!$K$4</c:f>
              <c:numCache>
                <c:formatCode>General</c:formatCode>
                <c:ptCount val="1"/>
                <c:pt idx="0">
                  <c:v>5</c:v>
                </c:pt>
              </c:numCache>
            </c:numRef>
          </c:cat>
          <c:val>
            <c:numRef>
              <c:f>'4.TCO Calculation &amp; Comparsion'!$J$221</c:f>
              <c:numCache>
                <c:formatCode>#,##0_);\(#,##0\)</c:formatCode>
                <c:ptCount val="1"/>
                <c:pt idx="0">
                  <c:v>0</c:v>
                </c:pt>
              </c:numCache>
            </c:numRef>
          </c:val>
          <c:extLst>
            <c:ext xmlns:c16="http://schemas.microsoft.com/office/drawing/2014/chart" uri="{C3380CC4-5D6E-409C-BE32-E72D297353CC}">
              <c16:uniqueId val="{00000001-C5DC-4C4E-A3F5-B1D0E9269A54}"/>
            </c:ext>
          </c:extLst>
        </c:ser>
        <c:dLbls>
          <c:showLegendKey val="0"/>
          <c:showVal val="0"/>
          <c:showCatName val="0"/>
          <c:showSerName val="0"/>
          <c:showPercent val="0"/>
          <c:showBubbleSize val="0"/>
        </c:dLbls>
        <c:gapWidth val="150"/>
        <c:axId val="152450480"/>
        <c:axId val="152146432"/>
      </c:barChart>
      <c:catAx>
        <c:axId val="152450480"/>
        <c:scaling>
          <c:orientation val="minMax"/>
        </c:scaling>
        <c:delete val="1"/>
        <c:axPos val="b"/>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crossAx val="152146432"/>
        <c:crosses val="autoZero"/>
        <c:auto val="1"/>
        <c:lblAlgn val="ctr"/>
        <c:lblOffset val="100"/>
        <c:noMultiLvlLbl val="0"/>
      </c:catAx>
      <c:valAx>
        <c:axId val="152146432"/>
        <c:scaling>
          <c:orientation val="minMax"/>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cs-CZ"/>
                  <a:t>Amount in Currency (</a:t>
                </a:r>
                <a:r>
                  <a:rPr lang="cs-CZ" sz="1000" b="1" i="0" u="none" strike="noStrike" baseline="0"/>
                  <a:t>thousand)</a:t>
                </a:r>
                <a:endParaRPr lang="cs-CZ"/>
              </a:p>
            </c:rich>
          </c:tx>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cs-CZ"/>
            </a:p>
          </c:txPr>
        </c:title>
        <c:numFmt formatCode="#,##0_);\(#,##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crossAx val="152450480"/>
        <c:crosses val="autoZero"/>
        <c:crossBetween val="between"/>
      </c:valAx>
      <c:spPr>
        <a:solidFill>
          <a:schemeClr val="bg1"/>
        </a:solidFill>
        <a:ln>
          <a:noFill/>
        </a:ln>
        <a:effectLst/>
      </c:spPr>
    </c:plotArea>
    <c:legend>
      <c:legendPos val="r"/>
      <c:layout>
        <c:manualLayout>
          <c:xMode val="edge"/>
          <c:yMode val="edge"/>
          <c:x val="0.77708486439195101"/>
          <c:y val="0.16319517351997667"/>
          <c:w val="0.18958377077865263"/>
          <c:h val="0.3923625692621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cs-CZ"/>
    </a:p>
  </c:txPr>
  <c:printSettings>
    <c:headerFooter/>
    <c:pageMargins b="0.75000000000000433" l="0.70000000000000129" r="0.70000000000000129" t="0.75000000000000433" header="0.30000000000000016" footer="0.30000000000000016"/>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r>
              <a:rPr lang="cs-CZ"/>
              <a:t>TCO</a:t>
            </a:r>
            <a:r>
              <a:rPr lang="cs-CZ" baseline="0"/>
              <a:t> for project per 1 user</a:t>
            </a:r>
            <a:endParaRPr lang="cs-CZ"/>
          </a:p>
        </c:rich>
      </c:tx>
      <c:layout>
        <c:manualLayout>
          <c:xMode val="edge"/>
          <c:yMode val="edge"/>
          <c:x val="0.25103040244969382"/>
          <c:y val="3.2407407407407406E-2"/>
        </c:manualLayout>
      </c:layout>
      <c:overlay val="1"/>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endParaRPr lang="cs-CZ"/>
        </a:p>
      </c:txPr>
    </c:title>
    <c:autoTitleDeleted val="0"/>
    <c:plotArea>
      <c:layout>
        <c:manualLayout>
          <c:layoutTarget val="inner"/>
          <c:xMode val="edge"/>
          <c:yMode val="edge"/>
          <c:x val="0.17421633271450909"/>
          <c:y val="0.16351695233594304"/>
          <c:w val="0.60054440693427436"/>
          <c:h val="0.61758020261511049"/>
        </c:manualLayout>
      </c:layout>
      <c:barChart>
        <c:barDir val="col"/>
        <c:grouping val="clustered"/>
        <c:varyColors val="0"/>
        <c:ser>
          <c:idx val="0"/>
          <c:order val="0"/>
          <c:tx>
            <c:strRef>
              <c:f>'4.TCO Calculation &amp; Comparsion'!$C$5</c:f>
              <c:strCache>
                <c:ptCount val="1"/>
                <c:pt idx="0">
                  <c:v>Cost of on-premise solution</c:v>
                </c:pt>
              </c:strCache>
            </c:strRef>
          </c:tx>
          <c:spPr>
            <a:solidFill>
              <a:srgbClr val="996633"/>
            </a:solidFill>
            <a:ln>
              <a:noFill/>
            </a:ln>
            <a:effectLst/>
          </c:spPr>
          <c:invertIfNegative val="0"/>
          <c:cat>
            <c:numRef>
              <c:f>'4.TCO Calculation &amp; Comparsion'!$K$4</c:f>
              <c:numCache>
                <c:formatCode>General</c:formatCode>
                <c:ptCount val="1"/>
                <c:pt idx="0">
                  <c:v>5</c:v>
                </c:pt>
              </c:numCache>
            </c:numRef>
          </c:cat>
          <c:val>
            <c:numRef>
              <c:f>'4.TCO Calculation &amp; Comparsion'!$J$140</c:f>
              <c:numCache>
                <c:formatCode>#,##0_);\(#,##0\)</c:formatCode>
                <c:ptCount val="1"/>
                <c:pt idx="0">
                  <c:v>0</c:v>
                </c:pt>
              </c:numCache>
            </c:numRef>
          </c:val>
          <c:extLst>
            <c:ext xmlns:c16="http://schemas.microsoft.com/office/drawing/2014/chart" uri="{C3380CC4-5D6E-409C-BE32-E72D297353CC}">
              <c16:uniqueId val="{00000000-C602-4C17-AEDD-6BD2CE51E1E1}"/>
            </c:ext>
          </c:extLst>
        </c:ser>
        <c:ser>
          <c:idx val="2"/>
          <c:order val="1"/>
          <c:tx>
            <c:strRef>
              <c:f>'4.TCO Calculation &amp; Comparsion'!$C$6</c:f>
              <c:strCache>
                <c:ptCount val="1"/>
                <c:pt idx="0">
                  <c:v>Cost of cloud solution</c:v>
                </c:pt>
              </c:strCache>
            </c:strRef>
          </c:tx>
          <c:spPr>
            <a:solidFill>
              <a:srgbClr val="66FFFF"/>
            </a:solidFill>
            <a:ln>
              <a:noFill/>
            </a:ln>
            <a:effectLst/>
          </c:spPr>
          <c:invertIfNegative val="0"/>
          <c:cat>
            <c:numRef>
              <c:f>'4.TCO Calculation &amp; Comparsion'!$K$4</c:f>
              <c:numCache>
                <c:formatCode>General</c:formatCode>
                <c:ptCount val="1"/>
                <c:pt idx="0">
                  <c:v>5</c:v>
                </c:pt>
              </c:numCache>
            </c:numRef>
          </c:cat>
          <c:val>
            <c:numRef>
              <c:f>'4.TCO Calculation &amp; Comparsion'!$J$222</c:f>
              <c:numCache>
                <c:formatCode>#,##0_);\(#,##0\)</c:formatCode>
                <c:ptCount val="1"/>
                <c:pt idx="0">
                  <c:v>0</c:v>
                </c:pt>
              </c:numCache>
            </c:numRef>
          </c:val>
          <c:extLst>
            <c:ext xmlns:c16="http://schemas.microsoft.com/office/drawing/2014/chart" uri="{C3380CC4-5D6E-409C-BE32-E72D297353CC}">
              <c16:uniqueId val="{00000001-C602-4C17-AEDD-6BD2CE51E1E1}"/>
            </c:ext>
          </c:extLst>
        </c:ser>
        <c:dLbls>
          <c:showLegendKey val="0"/>
          <c:showVal val="0"/>
          <c:showCatName val="0"/>
          <c:showSerName val="0"/>
          <c:showPercent val="0"/>
          <c:showBubbleSize val="0"/>
        </c:dLbls>
        <c:gapWidth val="150"/>
        <c:axId val="167017936"/>
        <c:axId val="167018320"/>
      </c:barChart>
      <c:catAx>
        <c:axId val="167017936"/>
        <c:scaling>
          <c:orientation val="minMax"/>
        </c:scaling>
        <c:delete val="1"/>
        <c:axPos val="b"/>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crossAx val="167018320"/>
        <c:crosses val="autoZero"/>
        <c:auto val="1"/>
        <c:lblAlgn val="ctr"/>
        <c:lblOffset val="100"/>
        <c:noMultiLvlLbl val="0"/>
      </c:catAx>
      <c:valAx>
        <c:axId val="167018320"/>
        <c:scaling>
          <c:orientation val="minMax"/>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cs-CZ"/>
                  <a:t>Amount</a:t>
                </a:r>
                <a:r>
                  <a:rPr lang="cs-CZ" baseline="0"/>
                  <a:t> in Currency </a:t>
                </a:r>
                <a:endParaRPr lang="cs-CZ"/>
              </a:p>
            </c:rich>
          </c:tx>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cs-CZ"/>
            </a:p>
          </c:txPr>
        </c:title>
        <c:numFmt formatCode="#,##0_);\(#,##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crossAx val="167017936"/>
        <c:crosses val="autoZero"/>
        <c:crossBetween val="between"/>
      </c:valAx>
      <c:spPr>
        <a:solidFill>
          <a:schemeClr val="bg1"/>
        </a:solidFill>
        <a:ln>
          <a:noFill/>
        </a:ln>
        <a:effectLst/>
      </c:spPr>
    </c:plotArea>
    <c:legend>
      <c:legendPos val="r"/>
      <c:layout>
        <c:manualLayout>
          <c:xMode val="edge"/>
          <c:yMode val="edge"/>
          <c:x val="0.77708486439195101"/>
          <c:y val="0.16319517351997667"/>
          <c:w val="0.18958377077865263"/>
          <c:h val="0.3923625692621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cs-CZ"/>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cs-CZ"/>
    </a:p>
  </c:txPr>
  <c:printSettings>
    <c:headerFooter/>
    <c:pageMargins b="0.75000000000000433" l="0.70000000000000129" r="0.70000000000000129" t="0.75000000000000433" header="0.30000000000000016" footer="0.30000000000000016"/>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28576</xdr:colOff>
      <xdr:row>24</xdr:row>
      <xdr:rowOff>152400</xdr:rowOff>
    </xdr:from>
    <xdr:to>
      <xdr:col>4</xdr:col>
      <xdr:colOff>161926</xdr:colOff>
      <xdr:row>24</xdr:row>
      <xdr:rowOff>2895600</xdr:rowOff>
    </xdr:to>
    <xdr:graphicFrame macro="">
      <xdr:nvGraphicFramePr>
        <xdr:cNvPr id="2" name="Chart 10">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24</xdr:row>
      <xdr:rowOff>114300</xdr:rowOff>
    </xdr:from>
    <xdr:to>
      <xdr:col>9</xdr:col>
      <xdr:colOff>790575</xdr:colOff>
      <xdr:row>24</xdr:row>
      <xdr:rowOff>2857500</xdr:rowOff>
    </xdr:to>
    <xdr:graphicFrame macro="">
      <xdr:nvGraphicFramePr>
        <xdr:cNvPr id="3" name="Chart 10">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21</xdr:row>
      <xdr:rowOff>95250</xdr:rowOff>
    </xdr:from>
    <xdr:to>
      <xdr:col>4</xdr:col>
      <xdr:colOff>152400</xdr:colOff>
      <xdr:row>24</xdr:row>
      <xdr:rowOff>47625</xdr:rowOff>
    </xdr:to>
    <xdr:graphicFrame macro="">
      <xdr:nvGraphicFramePr>
        <xdr:cNvPr id="4" name="Chart 10">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266699</xdr:colOff>
      <xdr:row>21</xdr:row>
      <xdr:rowOff>88900</xdr:rowOff>
    </xdr:from>
    <xdr:to>
      <xdr:col>9</xdr:col>
      <xdr:colOff>781049</xdr:colOff>
      <xdr:row>24</xdr:row>
      <xdr:rowOff>41275</xdr:rowOff>
    </xdr:to>
    <xdr:graphicFrame macro="">
      <xdr:nvGraphicFramePr>
        <xdr:cNvPr id="6" name="Chart 10">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css365.sharepoint.com/Cz50401/Projekty/MinVnitra/G-Cloud/TCO/UseCases/2017-12-15_%20eGC%20Cloud%20kalkulator_v1.1%20(dodatek%20k%20Metodice)%20IaaS%20verze%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Úvodní parametry"/>
      <sheetName val="2. Vstupní data on-premise "/>
      <sheetName val="tabulky"/>
      <sheetName val="3. Vstupní data cloud"/>
      <sheetName val="4. Výsledky porovnání"/>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N78"/>
  <sheetViews>
    <sheetView tabSelected="1" zoomScaleNormal="100" zoomScaleSheetLayoutView="120" workbookViewId="0">
      <selection activeCell="D11" sqref="D11"/>
    </sheetView>
  </sheetViews>
  <sheetFormatPr defaultColWidth="9" defaultRowHeight="14.4" outlineLevelCol="1" x14ac:dyDescent="0.3"/>
  <cols>
    <col min="1" max="1" width="1.5" style="91" customWidth="1"/>
    <col min="2" max="2" width="39.5" style="92" customWidth="1"/>
    <col min="3" max="3" width="13" style="92" customWidth="1"/>
    <col min="4" max="4" width="11.59765625" style="92" customWidth="1"/>
    <col min="5" max="5" width="12.296875" style="92" customWidth="1"/>
    <col min="6" max="6" width="44" style="92" customWidth="1"/>
    <col min="7" max="7" width="9" style="93" hidden="1" customWidth="1" outlineLevel="1"/>
    <col min="8" max="9" width="21.59765625" style="93" hidden="1" customWidth="1" outlineLevel="1"/>
    <col min="10" max="10" width="9" style="197" collapsed="1"/>
    <col min="11" max="13" width="9" style="197"/>
    <col min="14" max="14" width="9" style="198"/>
    <col min="15" max="16384" width="9" style="94"/>
  </cols>
  <sheetData>
    <row r="1" spans="2:10" ht="60.75" customHeight="1" x14ac:dyDescent="0.3">
      <c r="B1" s="164" t="s">
        <v>233</v>
      </c>
      <c r="C1" s="8"/>
      <c r="D1" s="8"/>
      <c r="E1" s="8"/>
      <c r="F1" s="165" t="s">
        <v>234</v>
      </c>
    </row>
    <row r="2" spans="2:10" ht="28.5" customHeight="1" thickBot="1" x14ac:dyDescent="0.35">
      <c r="B2" s="166" t="s">
        <v>235</v>
      </c>
      <c r="C2" s="167"/>
      <c r="D2" s="168"/>
      <c r="E2" s="8"/>
      <c r="F2" s="169"/>
      <c r="G2" s="97" t="s">
        <v>0</v>
      </c>
      <c r="H2" s="97"/>
      <c r="I2" s="97"/>
      <c r="J2" s="199"/>
    </row>
    <row r="3" spans="2:10" ht="40.950000000000003" customHeight="1" thickTop="1" thickBot="1" x14ac:dyDescent="0.35">
      <c r="B3" s="98" t="s">
        <v>236</v>
      </c>
      <c r="C3" s="98"/>
      <c r="D3" s="99" t="s">
        <v>17</v>
      </c>
      <c r="E3" s="716" t="s">
        <v>238</v>
      </c>
      <c r="F3" s="716"/>
    </row>
    <row r="4" spans="2:10" ht="22.2" customHeight="1" thickTop="1" thickBot="1" x14ac:dyDescent="0.35">
      <c r="B4" s="98" t="s">
        <v>261</v>
      </c>
      <c r="C4" s="98"/>
      <c r="D4" s="101" t="s">
        <v>262</v>
      </c>
      <c r="E4" s="100"/>
      <c r="F4" s="100"/>
    </row>
    <row r="5" spans="2:10" ht="15.6" thickTop="1" thickBot="1" x14ac:dyDescent="0.35">
      <c r="B5" s="98" t="s">
        <v>237</v>
      </c>
      <c r="C5" s="98"/>
      <c r="D5" s="50">
        <v>0.21</v>
      </c>
      <c r="E5" s="102"/>
      <c r="F5" s="102"/>
    </row>
    <row r="6" spans="2:10" ht="15.6" thickTop="1" thickBot="1" x14ac:dyDescent="0.35">
      <c r="B6" s="103"/>
      <c r="C6" s="103"/>
      <c r="D6" s="96"/>
    </row>
    <row r="7" spans="2:10" ht="15" thickBot="1" x14ac:dyDescent="0.35">
      <c r="B7" s="104" t="s">
        <v>240</v>
      </c>
      <c r="C7" s="104"/>
      <c r="D7" s="105"/>
      <c r="E7" s="105"/>
      <c r="F7" s="105"/>
    </row>
    <row r="8" spans="2:10" ht="24.6" customHeight="1" thickTop="1" thickBot="1" x14ac:dyDescent="0.35">
      <c r="B8" s="106" t="s">
        <v>241</v>
      </c>
      <c r="C8" s="106"/>
      <c r="D8" s="107">
        <v>5</v>
      </c>
      <c r="E8" s="108" t="s">
        <v>239</v>
      </c>
      <c r="F8" s="109"/>
      <c r="H8" s="93" t="str">
        <f>IF(DelkaProjektu=1,"year",IF(DelkaProjektu=5,"years","years"))</f>
        <v>years</v>
      </c>
    </row>
    <row r="9" spans="2:10" ht="15" thickTop="1" x14ac:dyDescent="0.3">
      <c r="B9" s="103"/>
      <c r="C9" s="103"/>
      <c r="D9" s="96"/>
    </row>
    <row r="10" spans="2:10" ht="34.200000000000003" customHeight="1" x14ac:dyDescent="0.3">
      <c r="B10" s="110"/>
      <c r="C10" s="110"/>
      <c r="D10" s="111" t="s">
        <v>242</v>
      </c>
      <c r="E10" s="112"/>
      <c r="F10" s="112"/>
    </row>
    <row r="11" spans="2:10" ht="41.4" customHeight="1" thickBot="1" x14ac:dyDescent="0.35">
      <c r="B11" s="113" t="s">
        <v>247</v>
      </c>
      <c r="C11" s="113"/>
      <c r="D11" s="114" t="s">
        <v>14</v>
      </c>
      <c r="E11" s="717" t="s">
        <v>245</v>
      </c>
      <c r="F11" s="717"/>
    </row>
    <row r="12" spans="2:10" ht="15" thickTop="1" x14ac:dyDescent="0.3">
      <c r="B12" s="103"/>
      <c r="C12" s="103"/>
      <c r="D12" s="96"/>
    </row>
    <row r="13" spans="2:10" ht="31.2" x14ac:dyDescent="0.3">
      <c r="B13" s="110"/>
      <c r="C13" s="110"/>
      <c r="D13" s="115" t="s">
        <v>243</v>
      </c>
      <c r="E13" s="112"/>
      <c r="F13" s="112"/>
      <c r="H13" s="718" t="s">
        <v>1</v>
      </c>
      <c r="I13" s="718"/>
    </row>
    <row r="14" spans="2:10" ht="46.5" customHeight="1" thickBot="1" x14ac:dyDescent="0.35">
      <c r="B14" s="113" t="s">
        <v>244</v>
      </c>
      <c r="C14" s="113"/>
      <c r="D14" s="116" t="s">
        <v>15</v>
      </c>
      <c r="E14" s="717" t="s">
        <v>246</v>
      </c>
      <c r="F14" s="717"/>
    </row>
    <row r="15" spans="2:10" ht="15.6" thickTop="1" thickBot="1" x14ac:dyDescent="0.35">
      <c r="B15" s="103"/>
      <c r="C15" s="95"/>
      <c r="D15" s="96"/>
    </row>
    <row r="16" spans="2:10" ht="15" thickBot="1" x14ac:dyDescent="0.35">
      <c r="B16" s="104" t="s">
        <v>248</v>
      </c>
      <c r="C16" s="105" t="s">
        <v>249</v>
      </c>
      <c r="D16" s="105" t="s">
        <v>250</v>
      </c>
      <c r="E16" s="105" t="s">
        <v>251</v>
      </c>
      <c r="F16" s="105"/>
    </row>
    <row r="17" spans="2:6" x14ac:dyDescent="0.3">
      <c r="B17" s="117" t="s">
        <v>252</v>
      </c>
      <c r="C17" s="118"/>
      <c r="D17" s="119"/>
      <c r="E17" s="120"/>
      <c r="F17" s="120"/>
    </row>
    <row r="18" spans="2:6" x14ac:dyDescent="0.3">
      <c r="B18" s="121" t="s">
        <v>253</v>
      </c>
      <c r="C18" s="122"/>
      <c r="D18" s="119"/>
      <c r="E18" s="120"/>
      <c r="F18" s="120"/>
    </row>
    <row r="19" spans="2:6" x14ac:dyDescent="0.3">
      <c r="B19" s="123" t="s">
        <v>254</v>
      </c>
      <c r="C19" s="124"/>
      <c r="D19" s="6" t="s">
        <v>14</v>
      </c>
      <c r="E19" s="125" t="s">
        <v>258</v>
      </c>
      <c r="F19" s="125"/>
    </row>
    <row r="20" spans="2:6" x14ac:dyDescent="0.3">
      <c r="B20" s="123" t="s">
        <v>255</v>
      </c>
      <c r="C20" s="124" t="s">
        <v>257</v>
      </c>
      <c r="D20" s="126">
        <v>1728</v>
      </c>
      <c r="E20" s="125" t="s">
        <v>259</v>
      </c>
      <c r="F20" s="125"/>
    </row>
    <row r="21" spans="2:6" ht="15" thickBot="1" x14ac:dyDescent="0.35">
      <c r="B21" s="127" t="s">
        <v>256</v>
      </c>
      <c r="C21" s="128"/>
      <c r="D21" s="129" t="s">
        <v>15</v>
      </c>
      <c r="E21" s="130" t="s">
        <v>803</v>
      </c>
      <c r="F21" s="131"/>
    </row>
    <row r="22" spans="2:6" ht="15.6" thickTop="1" thickBot="1" x14ac:dyDescent="0.35">
      <c r="B22" s="123"/>
      <c r="C22" s="95"/>
      <c r="D22" s="96"/>
    </row>
    <row r="23" spans="2:6" ht="15" thickBot="1" x14ac:dyDescent="0.35">
      <c r="B23" s="170" t="s">
        <v>273</v>
      </c>
      <c r="C23" s="171"/>
      <c r="D23" s="171" t="s">
        <v>260</v>
      </c>
      <c r="E23" s="171" t="s">
        <v>251</v>
      </c>
      <c r="F23" s="171"/>
    </row>
    <row r="24" spans="2:6" x14ac:dyDescent="0.3">
      <c r="B24" s="172" t="s">
        <v>261</v>
      </c>
      <c r="C24" s="173"/>
      <c r="D24" s="174" t="str">
        <f>$D$4</f>
        <v>EURO</v>
      </c>
      <c r="E24" s="175"/>
      <c r="F24" s="175"/>
    </row>
    <row r="25" spans="2:6" x14ac:dyDescent="0.3">
      <c r="B25" s="172" t="s">
        <v>260</v>
      </c>
      <c r="C25" s="173"/>
      <c r="D25" s="174" t="str">
        <f>_xlfn.CONCAT(JenotkaMěny,"/year")</f>
        <v>EURO/year</v>
      </c>
      <c r="E25" s="175"/>
      <c r="F25" s="175"/>
    </row>
    <row r="26" spans="2:6" x14ac:dyDescent="0.3">
      <c r="B26" s="172" t="s">
        <v>260</v>
      </c>
      <c r="C26" s="173"/>
      <c r="D26" s="174" t="str">
        <f>_xlfn.CONCAT(JenotkaMěny,"/hour")</f>
        <v>EURO/hour</v>
      </c>
      <c r="E26" s="175"/>
      <c r="F26" s="175"/>
    </row>
    <row r="27" spans="2:6" x14ac:dyDescent="0.3">
      <c r="B27" s="172" t="s">
        <v>260</v>
      </c>
      <c r="C27" s="173"/>
      <c r="D27" s="174" t="s">
        <v>263</v>
      </c>
      <c r="E27" s="175"/>
      <c r="F27" s="175"/>
    </row>
    <row r="28" spans="2:6" x14ac:dyDescent="0.3">
      <c r="B28" s="172" t="s">
        <v>260</v>
      </c>
      <c r="C28" s="173"/>
      <c r="D28" s="174" t="str">
        <f>_xlfn.CONCAT(JenotkaMěny,"/month")</f>
        <v>EURO/month</v>
      </c>
      <c r="E28" s="175"/>
      <c r="F28" s="175"/>
    </row>
    <row r="29" spans="2:6" x14ac:dyDescent="0.3">
      <c r="B29" s="172" t="s">
        <v>260</v>
      </c>
      <c r="C29" s="173"/>
      <c r="D29" s="174" t="str">
        <f>_xlfn.CONCAT(JenotkaMěny,"/1kWh")</f>
        <v>EURO/1kWh</v>
      </c>
      <c r="E29" s="175"/>
      <c r="F29" s="175"/>
    </row>
    <row r="30" spans="2:6" x14ac:dyDescent="0.3">
      <c r="B30" s="172" t="s">
        <v>260</v>
      </c>
      <c r="C30" s="173"/>
      <c r="D30" s="174" t="str">
        <f>_xlfn.CONCAT(JenotkaMěny,"/infrastructure/year")</f>
        <v>EURO/infrastructure/year</v>
      </c>
      <c r="E30" s="175"/>
      <c r="F30" s="175"/>
    </row>
    <row r="31" spans="2:6" x14ac:dyDescent="0.3">
      <c r="B31" s="172" t="s">
        <v>260</v>
      </c>
      <c r="C31" s="173"/>
      <c r="D31" s="174" t="str">
        <f>_xlfn.CONCAT(JenotkaMěny,"/platform/year")</f>
        <v>EURO/platform/year</v>
      </c>
      <c r="E31" s="175"/>
      <c r="F31" s="175"/>
    </row>
    <row r="32" spans="2:6" x14ac:dyDescent="0.3">
      <c r="B32" s="172" t="s">
        <v>260</v>
      </c>
      <c r="C32" s="173"/>
      <c r="D32" s="174" t="str">
        <f>_xlfn.CONCAT(JenotkaMěny,"/software/year")</f>
        <v>EURO/software/year</v>
      </c>
      <c r="E32" s="175"/>
      <c r="F32" s="175"/>
    </row>
    <row r="33" spans="2:9" x14ac:dyDescent="0.3">
      <c r="B33" s="172" t="s">
        <v>260</v>
      </c>
      <c r="C33" s="173"/>
      <c r="D33" s="174" t="str">
        <f>_xlfn.CONCAT(JenotkaMěny," - one time charge")</f>
        <v>EURO - one time charge</v>
      </c>
      <c r="E33" s="175"/>
      <c r="F33" s="175"/>
    </row>
    <row r="34" spans="2:9" x14ac:dyDescent="0.3">
      <c r="B34" s="172" t="s">
        <v>260</v>
      </c>
      <c r="C34" s="173"/>
      <c r="D34" s="174" t="s">
        <v>8</v>
      </c>
      <c r="E34" s="175"/>
      <c r="F34" s="175"/>
    </row>
    <row r="35" spans="2:9" x14ac:dyDescent="0.3">
      <c r="B35" s="172" t="s">
        <v>260</v>
      </c>
      <c r="C35" s="173"/>
      <c r="D35" s="174" t="s">
        <v>264</v>
      </c>
      <c r="E35" s="175"/>
      <c r="F35" s="175"/>
    </row>
    <row r="36" spans="2:9" x14ac:dyDescent="0.3">
      <c r="B36" s="172" t="s">
        <v>260</v>
      </c>
      <c r="C36" s="173"/>
      <c r="D36" s="174" t="s">
        <v>265</v>
      </c>
      <c r="E36" s="175"/>
      <c r="F36" s="175"/>
    </row>
    <row r="37" spans="2:9" x14ac:dyDescent="0.3">
      <c r="B37" s="172" t="s">
        <v>260</v>
      </c>
      <c r="C37" s="173"/>
      <c r="D37" s="174" t="s">
        <v>266</v>
      </c>
      <c r="E37" s="175"/>
      <c r="F37" s="175"/>
    </row>
    <row r="38" spans="2:9" x14ac:dyDescent="0.3">
      <c r="B38" s="172" t="s">
        <v>260</v>
      </c>
      <c r="C38" s="173"/>
      <c r="D38" s="174" t="s">
        <v>260</v>
      </c>
      <c r="E38" s="175"/>
      <c r="F38" s="175"/>
    </row>
    <row r="39" spans="2:9" x14ac:dyDescent="0.3">
      <c r="B39" s="172" t="s">
        <v>260</v>
      </c>
      <c r="C39" s="173"/>
      <c r="D39" s="174" t="s">
        <v>267</v>
      </c>
      <c r="E39" s="175"/>
      <c r="F39" s="175"/>
    </row>
    <row r="40" spans="2:9" x14ac:dyDescent="0.3">
      <c r="B40" s="176" t="s">
        <v>260</v>
      </c>
      <c r="C40" s="177"/>
      <c r="D40" s="178" t="s">
        <v>28</v>
      </c>
      <c r="E40" s="179"/>
      <c r="F40" s="179"/>
    </row>
    <row r="41" spans="2:9" ht="15" thickBot="1" x14ac:dyDescent="0.35">
      <c r="B41" s="8"/>
      <c r="C41" s="8"/>
      <c r="D41" s="8"/>
      <c r="E41" s="8"/>
      <c r="F41" s="8"/>
    </row>
    <row r="42" spans="2:9" ht="15" thickBot="1" x14ac:dyDescent="0.35">
      <c r="B42" s="170" t="s">
        <v>268</v>
      </c>
      <c r="C42" s="180"/>
      <c r="D42" s="181"/>
      <c r="E42" s="181"/>
      <c r="F42" s="171"/>
      <c r="H42" s="133" t="s">
        <v>12</v>
      </c>
      <c r="I42" s="133"/>
    </row>
    <row r="43" spans="2:9" x14ac:dyDescent="0.3">
      <c r="B43" s="182" t="s">
        <v>269</v>
      </c>
      <c r="C43" s="183" t="s">
        <v>260</v>
      </c>
      <c r="D43" s="183" t="s">
        <v>802</v>
      </c>
      <c r="E43" s="184" t="s">
        <v>801</v>
      </c>
      <c r="F43" s="185" t="s">
        <v>251</v>
      </c>
      <c r="H43" s="138" t="s">
        <v>16</v>
      </c>
      <c r="I43" s="139" t="s">
        <v>17</v>
      </c>
    </row>
    <row r="44" spans="2:9" x14ac:dyDescent="0.3">
      <c r="B44" s="186" t="s">
        <v>270</v>
      </c>
      <c r="C44" s="187" t="str">
        <f>$D$26</f>
        <v>EURO/hour</v>
      </c>
      <c r="D44" s="188">
        <v>1</v>
      </c>
      <c r="E44" s="55">
        <f>ROUND(SUM(E69)/FTP,0)</f>
        <v>654</v>
      </c>
      <c r="F44" s="189"/>
      <c r="H44" s="142">
        <f>HodinovaSazbaIT</f>
        <v>654</v>
      </c>
      <c r="I44" s="143">
        <f>HodinovaSazbaIT</f>
        <v>654</v>
      </c>
    </row>
    <row r="45" spans="2:9" x14ac:dyDescent="0.3">
      <c r="B45" s="186" t="s">
        <v>271</v>
      </c>
      <c r="C45" s="187" t="str">
        <f>$D$26</f>
        <v>EURO/hour</v>
      </c>
      <c r="D45" s="188">
        <v>2</v>
      </c>
      <c r="E45" s="55">
        <f>ROUND(SUM(E70)/FTP,0)</f>
        <v>657</v>
      </c>
      <c r="F45" s="189"/>
      <c r="H45" s="142">
        <f>HodinSazbaIT2</f>
        <v>657</v>
      </c>
      <c r="I45" s="143">
        <f>HodinSazbaIT2</f>
        <v>657</v>
      </c>
    </row>
    <row r="46" spans="2:9" ht="15" thickBot="1" x14ac:dyDescent="0.35">
      <c r="B46" s="190" t="s">
        <v>272</v>
      </c>
      <c r="C46" s="190" t="str">
        <f>$D$26</f>
        <v>EURO/hour</v>
      </c>
      <c r="D46" s="191">
        <v>3</v>
      </c>
      <c r="E46" s="56">
        <f>ROUND(SUM(E71)/FTP,0)</f>
        <v>709</v>
      </c>
      <c r="F46" s="192"/>
      <c r="H46" s="142">
        <f>HodinSazbaIT3</f>
        <v>709</v>
      </c>
      <c r="I46" s="143">
        <f>HodinSazbaIT3</f>
        <v>709</v>
      </c>
    </row>
    <row r="47" spans="2:9" ht="15" thickTop="1" x14ac:dyDescent="0.3">
      <c r="B47" s="146"/>
      <c r="C47" s="123"/>
      <c r="D47" s="10"/>
      <c r="E47" s="10"/>
      <c r="F47" s="147"/>
    </row>
    <row r="49" spans="1:14" x14ac:dyDescent="0.3">
      <c r="B49" s="134" t="s">
        <v>274</v>
      </c>
      <c r="C49" s="135" t="s">
        <v>260</v>
      </c>
      <c r="D49" s="136"/>
      <c r="E49" s="136" t="s">
        <v>801</v>
      </c>
      <c r="F49" s="137" t="s">
        <v>251</v>
      </c>
    </row>
    <row r="50" spans="1:14" s="153" customFormat="1" x14ac:dyDescent="0.3">
      <c r="A50" s="148"/>
      <c r="B50" s="149" t="s">
        <v>275</v>
      </c>
      <c r="C50" s="150"/>
      <c r="D50" s="151"/>
      <c r="E50" s="151"/>
      <c r="F50" s="150"/>
      <c r="G50" s="152"/>
      <c r="H50" s="152"/>
      <c r="I50" s="152"/>
      <c r="J50" s="200"/>
      <c r="K50" s="200"/>
      <c r="L50" s="200"/>
      <c r="M50" s="200"/>
      <c r="N50" s="201"/>
    </row>
    <row r="51" spans="1:14" x14ac:dyDescent="0.3">
      <c r="B51" s="146" t="s">
        <v>276</v>
      </c>
      <c r="C51" s="123" t="str">
        <f>$D$28</f>
        <v>EURO/month</v>
      </c>
      <c r="D51" s="10"/>
      <c r="E51" s="57">
        <v>65000</v>
      </c>
      <c r="F51" s="147"/>
    </row>
    <row r="52" spans="1:14" x14ac:dyDescent="0.3">
      <c r="B52" s="146" t="s">
        <v>277</v>
      </c>
      <c r="C52" s="123" t="str">
        <f>$D$25</f>
        <v>EURO/year</v>
      </c>
      <c r="D52" s="10"/>
      <c r="E52" s="89">
        <f>E51*12*1.34</f>
        <v>1045200.0000000001</v>
      </c>
      <c r="F52" s="147" t="s">
        <v>283</v>
      </c>
    </row>
    <row r="53" spans="1:14" ht="27.6" x14ac:dyDescent="0.3">
      <c r="B53" s="146" t="s">
        <v>278</v>
      </c>
      <c r="C53" s="123" t="str">
        <f>$D$25</f>
        <v>EURO/year</v>
      </c>
      <c r="D53" s="10"/>
      <c r="E53" s="57">
        <v>25000</v>
      </c>
      <c r="F53" s="147" t="s">
        <v>284</v>
      </c>
    </row>
    <row r="54" spans="1:14" x14ac:dyDescent="0.3">
      <c r="B54" s="146" t="s">
        <v>279</v>
      </c>
      <c r="C54" s="123" t="str">
        <f>$D$25</f>
        <v>EURO/year</v>
      </c>
      <c r="D54" s="10"/>
      <c r="E54" s="57">
        <v>60000</v>
      </c>
      <c r="F54" s="154" t="s">
        <v>285</v>
      </c>
    </row>
    <row r="55" spans="1:14" ht="3" customHeight="1" x14ac:dyDescent="0.3">
      <c r="B55" s="146"/>
      <c r="C55" s="123"/>
      <c r="D55" s="10"/>
      <c r="E55" s="10"/>
      <c r="F55" s="154"/>
    </row>
    <row r="56" spans="1:14" x14ac:dyDescent="0.3">
      <c r="B56" s="149" t="s">
        <v>280</v>
      </c>
      <c r="C56" s="150"/>
      <c r="D56" s="151"/>
      <c r="E56" s="151"/>
      <c r="F56" s="150"/>
    </row>
    <row r="57" spans="1:14" x14ac:dyDescent="0.3">
      <c r="B57" s="146" t="s">
        <v>276</v>
      </c>
      <c r="C57" s="123" t="str">
        <f>$D$28</f>
        <v>EURO/month</v>
      </c>
      <c r="D57" s="10"/>
      <c r="E57" s="57">
        <v>65000</v>
      </c>
      <c r="F57" s="147"/>
    </row>
    <row r="58" spans="1:14" x14ac:dyDescent="0.3">
      <c r="B58" s="146" t="s">
        <v>277</v>
      </c>
      <c r="C58" s="123" t="str">
        <f>$D$25</f>
        <v>EURO/year</v>
      </c>
      <c r="D58" s="10"/>
      <c r="E58" s="89">
        <f>E57*12*1.34</f>
        <v>1045200.0000000001</v>
      </c>
      <c r="F58" s="147" t="s">
        <v>283</v>
      </c>
    </row>
    <row r="59" spans="1:14" ht="27.6" x14ac:dyDescent="0.3">
      <c r="B59" s="146" t="s">
        <v>281</v>
      </c>
      <c r="C59" s="123" t="str">
        <f>$D$25</f>
        <v>EURO/year</v>
      </c>
      <c r="D59" s="10"/>
      <c r="E59" s="57">
        <v>30000</v>
      </c>
      <c r="F59" s="147" t="s">
        <v>284</v>
      </c>
    </row>
    <row r="60" spans="1:14" x14ac:dyDescent="0.3">
      <c r="B60" s="146" t="s">
        <v>279</v>
      </c>
      <c r="C60" s="123" t="str">
        <f>$D$25</f>
        <v>EURO/year</v>
      </c>
      <c r="D60" s="10"/>
      <c r="E60" s="57">
        <v>60000</v>
      </c>
      <c r="F60" s="154" t="s">
        <v>285</v>
      </c>
    </row>
    <row r="61" spans="1:14" ht="3" customHeight="1" x14ac:dyDescent="0.3">
      <c r="B61" s="146"/>
      <c r="C61" s="123"/>
      <c r="D61" s="10"/>
      <c r="E61" s="87"/>
      <c r="F61" s="154"/>
    </row>
    <row r="62" spans="1:14" x14ac:dyDescent="0.3">
      <c r="B62" s="149" t="s">
        <v>282</v>
      </c>
      <c r="C62" s="150"/>
      <c r="D62" s="151"/>
      <c r="E62" s="155"/>
      <c r="F62" s="150"/>
    </row>
    <row r="63" spans="1:14" x14ac:dyDescent="0.3">
      <c r="B63" s="146" t="s">
        <v>276</v>
      </c>
      <c r="C63" s="123" t="str">
        <f>$D$28</f>
        <v>EURO/month</v>
      </c>
      <c r="D63" s="10"/>
      <c r="E63" s="57">
        <v>70000</v>
      </c>
      <c r="F63" s="147"/>
    </row>
    <row r="64" spans="1:14" x14ac:dyDescent="0.3">
      <c r="B64" s="146" t="s">
        <v>277</v>
      </c>
      <c r="C64" s="123" t="str">
        <f>$D$25</f>
        <v>EURO/year</v>
      </c>
      <c r="D64" s="10"/>
      <c r="E64" s="89">
        <f>E63*12*1.34</f>
        <v>1125600</v>
      </c>
      <c r="F64" s="147" t="s">
        <v>283</v>
      </c>
    </row>
    <row r="65" spans="2:9" ht="27.6" x14ac:dyDescent="0.3">
      <c r="B65" s="146" t="s">
        <v>281</v>
      </c>
      <c r="C65" s="123" t="str">
        <f>$D$25</f>
        <v>EURO/year</v>
      </c>
      <c r="D65" s="10"/>
      <c r="E65" s="57">
        <v>40000</v>
      </c>
      <c r="F65" s="147" t="s">
        <v>284</v>
      </c>
    </row>
    <row r="66" spans="2:9" x14ac:dyDescent="0.3">
      <c r="B66" s="146" t="s">
        <v>279</v>
      </c>
      <c r="C66" s="123" t="str">
        <f>$D$25</f>
        <v>EURO/year</v>
      </c>
      <c r="D66" s="10"/>
      <c r="E66" s="57">
        <v>60000</v>
      </c>
      <c r="F66" s="154" t="s">
        <v>285</v>
      </c>
    </row>
    <row r="67" spans="2:9" ht="1.5" customHeight="1" thickBot="1" x14ac:dyDescent="0.35">
      <c r="B67" s="146"/>
      <c r="C67" s="123"/>
      <c r="D67" s="10"/>
      <c r="E67" s="87"/>
      <c r="F67" s="154"/>
    </row>
    <row r="68" spans="2:9" ht="56.4" thickTop="1" thickBot="1" x14ac:dyDescent="0.35">
      <c r="B68" s="156" t="s">
        <v>804</v>
      </c>
      <c r="C68" s="157" t="str">
        <f>$D$25</f>
        <v>EURO/year</v>
      </c>
      <c r="D68" s="28"/>
      <c r="E68" s="88">
        <v>0</v>
      </c>
      <c r="F68" s="158" t="s">
        <v>286</v>
      </c>
      <c r="H68" s="159"/>
      <c r="I68" s="159"/>
    </row>
    <row r="69" spans="2:9" ht="15" thickTop="1" x14ac:dyDescent="0.3">
      <c r="B69" s="140" t="s">
        <v>287</v>
      </c>
      <c r="C69" s="141" t="str">
        <f>D25</f>
        <v>EURO/year</v>
      </c>
      <c r="D69" s="7"/>
      <c r="E69" s="89">
        <f>E52+E53+E54+E68</f>
        <v>1130200</v>
      </c>
      <c r="F69" s="160"/>
    </row>
    <row r="70" spans="2:9" x14ac:dyDescent="0.3">
      <c r="B70" s="140" t="s">
        <v>288</v>
      </c>
      <c r="C70" s="141" t="str">
        <f>D25</f>
        <v>EURO/year</v>
      </c>
      <c r="D70" s="7"/>
      <c r="E70" s="89">
        <f>E58+E59+E60+E68</f>
        <v>1135200</v>
      </c>
      <c r="F70" s="160"/>
    </row>
    <row r="71" spans="2:9" ht="15" thickBot="1" x14ac:dyDescent="0.35">
      <c r="B71" s="144" t="s">
        <v>289</v>
      </c>
      <c r="C71" s="161" t="str">
        <f>D25</f>
        <v>EURO/year</v>
      </c>
      <c r="D71" s="11"/>
      <c r="E71" s="90">
        <f>E64+E65+E66+E68</f>
        <v>1225600</v>
      </c>
      <c r="F71" s="162"/>
    </row>
    <row r="72" spans="2:9" ht="15" thickTop="1" x14ac:dyDescent="0.3"/>
    <row r="73" spans="2:9" x14ac:dyDescent="0.3">
      <c r="B73" s="134" t="s">
        <v>290</v>
      </c>
      <c r="C73" s="135" t="s">
        <v>260</v>
      </c>
      <c r="D73" s="136"/>
      <c r="E73" s="136" t="s">
        <v>291</v>
      </c>
      <c r="F73" s="137" t="s">
        <v>292</v>
      </c>
    </row>
    <row r="74" spans="2:9" ht="15" thickBot="1" x14ac:dyDescent="0.35">
      <c r="B74" s="144" t="s">
        <v>293</v>
      </c>
      <c r="C74" s="161" t="s">
        <v>294</v>
      </c>
      <c r="D74" s="11"/>
      <c r="E74" s="51">
        <v>100</v>
      </c>
      <c r="F74" s="145" t="s">
        <v>295</v>
      </c>
    </row>
    <row r="75" spans="2:9" ht="15.6" thickTop="1" thickBot="1" x14ac:dyDescent="0.35">
      <c r="B75" s="146"/>
      <c r="C75" s="123"/>
      <c r="D75" s="10"/>
      <c r="E75" s="163"/>
      <c r="F75" s="154"/>
    </row>
    <row r="76" spans="2:9" ht="15" thickTop="1" x14ac:dyDescent="0.3">
      <c r="B76" s="193" t="s">
        <v>296</v>
      </c>
      <c r="C76" s="194"/>
      <c r="D76" s="194"/>
      <c r="E76" s="194"/>
      <c r="F76" s="194"/>
    </row>
    <row r="77" spans="2:9" ht="15" thickBot="1" x14ac:dyDescent="0.35">
      <c r="B77" s="195" t="s">
        <v>297</v>
      </c>
      <c r="C77" s="196"/>
      <c r="D77" s="196"/>
      <c r="E77" s="196"/>
      <c r="F77" s="196"/>
    </row>
    <row r="78" spans="2:9" ht="15" thickTop="1" x14ac:dyDescent="0.3"/>
  </sheetData>
  <sheetProtection algorithmName="SHA-512" hashValue="IWOmKrqSnJL5mxeYTQgNQtu+go7CFlgYlVfIpbJonJ2DU+fvs3PDj8RiFQK6Rvd+bg7FOfgWllba3BUG4Uwm+g==" saltValue="ZQ9VAw5buwwnaTYzlMpi7w==" spinCount="100000" sheet="1" objects="1" scenarios="1"/>
  <mergeCells count="4">
    <mergeCell ref="E3:F3"/>
    <mergeCell ref="E11:F11"/>
    <mergeCell ref="E14:F14"/>
    <mergeCell ref="H13:I13"/>
  </mergeCells>
  <dataValidations count="3">
    <dataValidation type="list" allowBlank="1" showInputMessage="1" showErrorMessage="1" sqref="D8" xr:uid="{00000000-0002-0000-0000-000000000000}">
      <formula1>DélkaProjektu</formula1>
    </dataValidation>
    <dataValidation type="list" allowBlank="1" showInputMessage="1" showErrorMessage="1" sqref="D3" xr:uid="{120ED94B-1198-4859-B61A-D04ABA796CE0}">
      <formula1>NákladyDPH</formula1>
    </dataValidation>
    <dataValidation type="list" allowBlank="1" showInputMessage="1" showErrorMessage="1" sqref="D19 D14 D11 D21" xr:uid="{0ECE61B5-156A-4543-84BB-89E2FD1E0319}">
      <formula1>AnoNe</formula1>
    </dataValidation>
  </dataValidations>
  <printOptions horizontalCentered="1"/>
  <pageMargins left="0" right="0" top="0.74803149606299213" bottom="0.15748031496062992" header="0.19685039370078741" footer="0.11811023622047245"/>
  <pageSetup paperSize="9" scale="79" orientation="portrait" r:id="rId1"/>
  <headerFooter>
    <oddFooter>&amp;L&amp;"Calibri,Obyčejné"&amp;9Základní parametry řešení - vstupy&amp;C&amp;"Calibri,Obyčejné"&amp;9&amp;P/&amp;N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tabColor theme="8" tint="0.79998168889431442"/>
  </sheetPr>
  <dimension ref="A1:J29"/>
  <sheetViews>
    <sheetView workbookViewId="0">
      <selection activeCell="A20" sqref="A20"/>
    </sheetView>
  </sheetViews>
  <sheetFormatPr defaultRowHeight="13.8" x14ac:dyDescent="0.25"/>
  <cols>
    <col min="1" max="1" width="16.8984375" customWidth="1"/>
    <col min="2" max="2" width="15.5" customWidth="1"/>
    <col min="4" max="4" width="16.19921875" customWidth="1"/>
    <col min="5" max="5" width="15.19921875" customWidth="1"/>
  </cols>
  <sheetData>
    <row r="1" spans="1:10" x14ac:dyDescent="0.25">
      <c r="A1" t="s">
        <v>14</v>
      </c>
      <c r="B1" t="s">
        <v>14</v>
      </c>
    </row>
    <row r="2" spans="1:10" x14ac:dyDescent="0.25">
      <c r="A2" t="s">
        <v>15</v>
      </c>
      <c r="B2" t="s">
        <v>15</v>
      </c>
    </row>
    <row r="7" spans="1:10" x14ac:dyDescent="0.25">
      <c r="G7">
        <v>1</v>
      </c>
    </row>
    <row r="8" spans="1:10" x14ac:dyDescent="0.25">
      <c r="C8">
        <v>1</v>
      </c>
      <c r="G8">
        <v>2</v>
      </c>
    </row>
    <row r="9" spans="1:10" x14ac:dyDescent="0.25">
      <c r="C9">
        <v>2</v>
      </c>
      <c r="G9">
        <v>3</v>
      </c>
    </row>
    <row r="10" spans="1:10" x14ac:dyDescent="0.25">
      <c r="C10">
        <v>3</v>
      </c>
    </row>
    <row r="11" spans="1:10" x14ac:dyDescent="0.25">
      <c r="C11">
        <v>4</v>
      </c>
    </row>
    <row r="12" spans="1:10" x14ac:dyDescent="0.25">
      <c r="C12">
        <v>5</v>
      </c>
      <c r="J12" s="6" t="s">
        <v>2</v>
      </c>
    </row>
    <row r="14" spans="1:10" x14ac:dyDescent="0.25">
      <c r="A14" t="s">
        <v>16</v>
      </c>
      <c r="B14" t="s">
        <v>16</v>
      </c>
    </row>
    <row r="15" spans="1:10" x14ac:dyDescent="0.25">
      <c r="A15" t="s">
        <v>17</v>
      </c>
      <c r="B15" t="s">
        <v>17</v>
      </c>
      <c r="D15" t="s">
        <v>4</v>
      </c>
      <c r="E15" s="58" t="s">
        <v>18</v>
      </c>
    </row>
    <row r="16" spans="1:10" x14ac:dyDescent="0.25">
      <c r="D16" s="62" t="s">
        <v>6</v>
      </c>
    </row>
    <row r="17" spans="1:5" x14ac:dyDescent="0.25">
      <c r="D17" s="60" t="str">
        <f>_xlfn.CONCAT(KurzCZKEUR,"/rok")</f>
        <v>EURO/rok</v>
      </c>
      <c r="E17" s="59" t="s">
        <v>19</v>
      </c>
    </row>
    <row r="18" spans="1:5" ht="14.4" x14ac:dyDescent="0.25">
      <c r="A18" s="8" t="str">
        <f>'1.Initial Parameters'!D25</f>
        <v>EURO/year</v>
      </c>
      <c r="D18" s="60" t="str">
        <f>_xlfn.CONCAT(KurzCZKEUR,"/hodinu")</f>
        <v>EURO/hodinu</v>
      </c>
      <c r="E18" s="59" t="s">
        <v>20</v>
      </c>
    </row>
    <row r="19" spans="1:5" ht="14.4" x14ac:dyDescent="0.25">
      <c r="A19" s="8" t="str">
        <f>'1.Initial Parameters'!D33</f>
        <v>EURO - one time charge</v>
      </c>
      <c r="D19" s="60" t="s">
        <v>7</v>
      </c>
      <c r="E19" s="59" t="s">
        <v>21</v>
      </c>
    </row>
    <row r="20" spans="1:5" x14ac:dyDescent="0.25">
      <c r="D20" s="60" t="str">
        <f>_xlfn.CONCAT(KurzCZKEUR,"/měsíc")</f>
        <v>EURO/měsíc</v>
      </c>
      <c r="E20" s="59" t="s">
        <v>22</v>
      </c>
    </row>
    <row r="21" spans="1:5" x14ac:dyDescent="0.25">
      <c r="D21" s="60" t="str">
        <f>_xlfn.CONCAT(KurzCZKEUR,"/1kWh")</f>
        <v>EURO/1kWh</v>
      </c>
      <c r="E21" s="59" t="s">
        <v>23</v>
      </c>
    </row>
    <row r="22" spans="1:5" x14ac:dyDescent="0.25">
      <c r="D22" s="60" t="str">
        <f>_xlfn.CONCAT(KurzCZKEUR,"/infrastruktura/rok")</f>
        <v>EURO/infrastruktura/rok</v>
      </c>
      <c r="E22" s="59" t="s">
        <v>24</v>
      </c>
    </row>
    <row r="23" spans="1:5" x14ac:dyDescent="0.25">
      <c r="D23" s="60" t="str">
        <f>_xlfn.CONCAT(KurzCZKEUR,"/platforma/rok")</f>
        <v>EURO/platforma/rok</v>
      </c>
      <c r="E23" s="59" t="s">
        <v>25</v>
      </c>
    </row>
    <row r="24" spans="1:5" x14ac:dyDescent="0.25">
      <c r="D24" s="60" t="str">
        <f>_xlfn.CONCAT(KurzCZKEUR,"/software/rok")</f>
        <v>EURO/software/rok</v>
      </c>
      <c r="E24" s="59" t="s">
        <v>26</v>
      </c>
    </row>
    <row r="25" spans="1:5" x14ac:dyDescent="0.25">
      <c r="D25" s="60" t="str">
        <f>_xlfn.CONCAT(KurzCZKEUR," - jednorázově")</f>
        <v>EURO - jednorázově</v>
      </c>
      <c r="E25" s="59" t="s">
        <v>27</v>
      </c>
    </row>
    <row r="26" spans="1:5" x14ac:dyDescent="0.25">
      <c r="D26" s="60" t="s">
        <v>8</v>
      </c>
      <c r="E26" s="59" t="s">
        <v>8</v>
      </c>
    </row>
    <row r="27" spans="1:5" x14ac:dyDescent="0.25">
      <c r="D27" s="60" t="s">
        <v>9</v>
      </c>
      <c r="E27" s="59" t="s">
        <v>20</v>
      </c>
    </row>
    <row r="28" spans="1:5" x14ac:dyDescent="0.25">
      <c r="D28" s="60" t="s">
        <v>10</v>
      </c>
      <c r="E28" s="59"/>
    </row>
    <row r="29" spans="1:5" x14ac:dyDescent="0.25">
      <c r="D29" s="61" t="s">
        <v>11</v>
      </c>
      <c r="E29" s="59" t="s">
        <v>28</v>
      </c>
    </row>
  </sheetData>
  <dataValidations count="1">
    <dataValidation type="list" allowBlank="1" showInputMessage="1" showErrorMessage="1" sqref="J12" xr:uid="{00000000-0002-0000-0100-000000000000}">
      <formula1>AnoNe</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Sheet5">
    <tabColor rgb="FF996633"/>
  </sheetPr>
  <dimension ref="A1:R327"/>
  <sheetViews>
    <sheetView topLeftCell="A258" zoomScale="110" zoomScaleNormal="110" zoomScaleSheetLayoutView="110" workbookViewId="0">
      <selection activeCell="T279" sqref="T279"/>
    </sheetView>
  </sheetViews>
  <sheetFormatPr defaultColWidth="7.59765625" defaultRowHeight="14.4" outlineLevelCol="1" x14ac:dyDescent="0.3"/>
  <cols>
    <col min="1" max="1" width="1.09765625" style="448" customWidth="1"/>
    <col min="2" max="2" width="40.59765625" style="448" customWidth="1"/>
    <col min="3" max="3" width="13.8984375" style="448" customWidth="1"/>
    <col min="4" max="4" width="15.19921875" style="448" customWidth="1"/>
    <col min="5" max="5" width="8.09765625" style="448" hidden="1" customWidth="1" outlineLevel="1"/>
    <col min="6" max="6" width="14.59765625" style="448" customWidth="1" collapsed="1"/>
    <col min="7" max="7" width="53.59765625" style="659" customWidth="1"/>
    <col min="8" max="8" width="2.5" style="283" customWidth="1"/>
    <col min="9" max="9" width="19.09765625" style="202" hidden="1" customWidth="1" outlineLevel="1"/>
    <col min="10" max="12" width="10.09765625" style="202" hidden="1" customWidth="1" outlineLevel="1"/>
    <col min="13" max="13" width="0.8984375" style="26" hidden="1" customWidth="1" outlineLevel="1"/>
    <col min="14" max="14" width="8.3984375" style="26" hidden="1" customWidth="1" outlineLevel="1"/>
    <col min="15" max="15" width="6.3984375" style="26" hidden="1" customWidth="1" outlineLevel="1"/>
    <col min="16" max="16" width="5" style="26" hidden="1" customWidth="1" outlineLevel="1"/>
    <col min="17" max="17" width="5" style="26" customWidth="1" collapsed="1"/>
    <col min="18" max="18" width="14.09765625" style="452" customWidth="1"/>
    <col min="19" max="16384" width="7.59765625" style="453"/>
  </cols>
  <sheetData>
    <row r="1" spans="2:14" ht="18" x14ac:dyDescent="0.3">
      <c r="B1" s="449" t="s">
        <v>811</v>
      </c>
      <c r="C1" s="450"/>
      <c r="D1" s="450"/>
      <c r="E1" s="450"/>
      <c r="F1" s="450"/>
      <c r="G1" s="451"/>
      <c r="H1" s="52"/>
    </row>
    <row r="2" spans="2:14" ht="18" x14ac:dyDescent="0.3">
      <c r="B2" s="454" t="s">
        <v>805</v>
      </c>
      <c r="C2" s="449"/>
      <c r="D2" s="449"/>
      <c r="E2" s="449"/>
      <c r="F2" s="455"/>
      <c r="G2" s="451"/>
      <c r="H2" s="52"/>
      <c r="I2" s="203" t="s">
        <v>0</v>
      </c>
      <c r="J2" s="203"/>
      <c r="K2" s="203"/>
      <c r="L2" s="204"/>
      <c r="M2" s="205"/>
      <c r="N2" s="205"/>
    </row>
    <row r="3" spans="2:14" ht="6.75" customHeight="1" thickBot="1" x14ac:dyDescent="0.35">
      <c r="B3" s="456"/>
      <c r="C3" s="457"/>
      <c r="D3" s="457"/>
      <c r="E3" s="457"/>
      <c r="F3" s="457"/>
      <c r="G3" s="451"/>
      <c r="H3" s="52"/>
      <c r="L3" s="206"/>
    </row>
    <row r="4" spans="2:14" ht="19.8" thickBot="1" x14ac:dyDescent="0.35">
      <c r="B4" s="458" t="s">
        <v>29</v>
      </c>
      <c r="C4" s="459"/>
      <c r="D4" s="459"/>
      <c r="E4" s="459"/>
      <c r="F4" s="460"/>
      <c r="G4" s="461"/>
      <c r="H4" s="52"/>
      <c r="J4" s="207" t="s">
        <v>237</v>
      </c>
      <c r="K4" s="208">
        <f>'1.Initial Parameters'!$D$5</f>
        <v>0.21</v>
      </c>
      <c r="L4" s="209" t="s">
        <v>298</v>
      </c>
      <c r="N4" s="210" t="s">
        <v>30</v>
      </c>
    </row>
    <row r="5" spans="2:14" ht="23.25" customHeight="1" x14ac:dyDescent="0.3">
      <c r="B5" s="134" t="s">
        <v>814</v>
      </c>
      <c r="C5" s="134" t="s">
        <v>260</v>
      </c>
      <c r="D5" s="462" t="s">
        <v>312</v>
      </c>
      <c r="E5" s="134"/>
      <c r="F5" s="135" t="s">
        <v>291</v>
      </c>
      <c r="G5" s="463" t="s">
        <v>251</v>
      </c>
      <c r="H5" s="52"/>
      <c r="J5" s="211" t="s">
        <v>16</v>
      </c>
      <c r="K5" s="212" t="s">
        <v>17</v>
      </c>
      <c r="L5" s="213" t="str">
        <f>'4.TCO Calculation &amp; Comparsion'!$J$3</f>
        <v>VAT included</v>
      </c>
      <c r="N5" s="210" t="s">
        <v>30</v>
      </c>
    </row>
    <row r="6" spans="2:14" x14ac:dyDescent="0.3">
      <c r="B6" s="464" t="s">
        <v>300</v>
      </c>
      <c r="C6" s="457" t="str">
        <f>JenotkaMěny</f>
        <v>EURO</v>
      </c>
      <c r="D6" s="457"/>
      <c r="E6" s="457"/>
      <c r="F6" s="465">
        <v>0</v>
      </c>
      <c r="G6" s="466"/>
      <c r="H6" s="52"/>
      <c r="I6" s="202" t="s">
        <v>31</v>
      </c>
      <c r="J6" s="214">
        <f>IF($J$5='1.Initial Parameters'!$D$3,'2. Input Data On-Premise '!F6,'2. Input Data On-Premise '!F6/(1+$K$4))</f>
        <v>0</v>
      </c>
      <c r="K6" s="215">
        <f>IF($K$5='1.Initial Parameters'!$D$3,'2. Input Data On-Premise '!F6,'2. Input Data On-Premise '!F6*(1+$K$4))</f>
        <v>0</v>
      </c>
      <c r="L6" s="216">
        <f t="shared" ref="L6:L17" si="0">IF($L$166=$J$166,J6,K6)</f>
        <v>0</v>
      </c>
      <c r="N6" s="210" t="s">
        <v>30</v>
      </c>
    </row>
    <row r="7" spans="2:14" x14ac:dyDescent="0.3">
      <c r="B7" s="464" t="s">
        <v>301</v>
      </c>
      <c r="C7" s="457" t="str">
        <f>'1.Initial Parameters'!$D$25</f>
        <v>EURO/year</v>
      </c>
      <c r="D7" s="457"/>
      <c r="E7" s="457"/>
      <c r="F7" s="465">
        <v>0</v>
      </c>
      <c r="G7" s="466"/>
      <c r="H7" s="52"/>
      <c r="I7" s="202" t="s">
        <v>32</v>
      </c>
      <c r="J7" s="214">
        <f>IF($J$5='1.Initial Parameters'!$D$3,'2. Input Data On-Premise '!F7,'2. Input Data On-Premise '!F7/(1+$K$4))</f>
        <v>0</v>
      </c>
      <c r="K7" s="215">
        <f>IF($K$5='1.Initial Parameters'!$D$3,'2. Input Data On-Premise '!F7,'2. Input Data On-Premise '!F7*(1+$K$4))</f>
        <v>0</v>
      </c>
      <c r="L7" s="216">
        <f t="shared" si="0"/>
        <v>0</v>
      </c>
      <c r="N7" s="210" t="s">
        <v>30</v>
      </c>
    </row>
    <row r="8" spans="2:14" x14ac:dyDescent="0.3">
      <c r="B8" s="464" t="s">
        <v>302</v>
      </c>
      <c r="C8" s="457" t="str">
        <f>JenotkaMěny</f>
        <v>EURO</v>
      </c>
      <c r="D8" s="457"/>
      <c r="E8" s="457"/>
      <c r="F8" s="465">
        <v>0</v>
      </c>
      <c r="G8" s="466"/>
      <c r="H8" s="52"/>
      <c r="I8" s="202" t="s">
        <v>31</v>
      </c>
      <c r="J8" s="214">
        <f>IF($J$5='1.Initial Parameters'!$D$3,'2. Input Data On-Premise '!F8,'2. Input Data On-Premise '!F8/(1+$K$4))</f>
        <v>0</v>
      </c>
      <c r="K8" s="215">
        <f>IF($K$5='1.Initial Parameters'!$D$3,'2. Input Data On-Premise '!F8,'2. Input Data On-Premise '!F8*(1+$K$4))</f>
        <v>0</v>
      </c>
      <c r="L8" s="216">
        <f t="shared" si="0"/>
        <v>0</v>
      </c>
      <c r="N8" s="210" t="s">
        <v>30</v>
      </c>
    </row>
    <row r="9" spans="2:14" x14ac:dyDescent="0.3">
      <c r="B9" s="464" t="s">
        <v>303</v>
      </c>
      <c r="C9" s="457" t="str">
        <f>'1.Initial Parameters'!$D$25</f>
        <v>EURO/year</v>
      </c>
      <c r="D9" s="457"/>
      <c r="E9" s="457"/>
      <c r="F9" s="465">
        <v>0</v>
      </c>
      <c r="G9" s="466"/>
      <c r="H9" s="52"/>
      <c r="I9" s="202" t="s">
        <v>32</v>
      </c>
      <c r="J9" s="214">
        <f>IF($J$5='1.Initial Parameters'!$D$3,'2. Input Data On-Premise '!F9,'2. Input Data On-Premise '!F9/(1+$K$4))</f>
        <v>0</v>
      </c>
      <c r="K9" s="215">
        <f>IF($K$5='1.Initial Parameters'!$D$3,'2. Input Data On-Premise '!F9,'2. Input Data On-Premise '!F9*(1+$K$4))</f>
        <v>0</v>
      </c>
      <c r="L9" s="216">
        <f t="shared" si="0"/>
        <v>0</v>
      </c>
      <c r="N9" s="210" t="s">
        <v>30</v>
      </c>
    </row>
    <row r="10" spans="2:14" x14ac:dyDescent="0.3">
      <c r="B10" s="467" t="s">
        <v>304</v>
      </c>
      <c r="C10" s="457" t="str">
        <f>JenotkaMěny</f>
        <v>EURO</v>
      </c>
      <c r="D10" s="457"/>
      <c r="E10" s="457"/>
      <c r="F10" s="465">
        <v>0</v>
      </c>
      <c r="G10" s="468"/>
      <c r="H10" s="52"/>
      <c r="I10" s="202" t="s">
        <v>31</v>
      </c>
      <c r="J10" s="214">
        <f>IF($J$5='1.Initial Parameters'!$D$3,'2. Input Data On-Premise '!F10,'2. Input Data On-Premise '!F10/(1+$K$4))</f>
        <v>0</v>
      </c>
      <c r="K10" s="215">
        <f>IF($K$5='1.Initial Parameters'!$D$3,'2. Input Data On-Premise '!F10,'2. Input Data On-Premise '!F10*(1+$K$4))</f>
        <v>0</v>
      </c>
      <c r="L10" s="216">
        <f t="shared" si="0"/>
        <v>0</v>
      </c>
      <c r="N10" s="210" t="s">
        <v>30</v>
      </c>
    </row>
    <row r="11" spans="2:14" x14ac:dyDescent="0.3">
      <c r="B11" s="464" t="s">
        <v>305</v>
      </c>
      <c r="C11" s="457" t="str">
        <f>'1.Initial Parameters'!$D$25</f>
        <v>EURO/year</v>
      </c>
      <c r="D11" s="457"/>
      <c r="E11" s="457"/>
      <c r="F11" s="465">
        <v>0</v>
      </c>
      <c r="G11" s="468"/>
      <c r="H11" s="52"/>
      <c r="I11" s="202" t="s">
        <v>32</v>
      </c>
      <c r="J11" s="214">
        <f>IF($J$5='1.Initial Parameters'!$D$3,'2. Input Data On-Premise '!F11,'2. Input Data On-Premise '!F11/(1+$K$4))</f>
        <v>0</v>
      </c>
      <c r="K11" s="215">
        <f>IF($K$5='1.Initial Parameters'!$D$3,'2. Input Data On-Premise '!F11,'2. Input Data On-Premise '!F11*(1+$K$4))</f>
        <v>0</v>
      </c>
      <c r="L11" s="216">
        <f t="shared" si="0"/>
        <v>0</v>
      </c>
      <c r="N11" s="210" t="s">
        <v>30</v>
      </c>
    </row>
    <row r="12" spans="2:14" x14ac:dyDescent="0.3">
      <c r="B12" s="464" t="s">
        <v>306</v>
      </c>
      <c r="C12" s="457" t="str">
        <f>JenotkaMěny</f>
        <v>EURO</v>
      </c>
      <c r="D12" s="457"/>
      <c r="E12" s="457"/>
      <c r="F12" s="465">
        <v>0</v>
      </c>
      <c r="G12" s="466"/>
      <c r="H12" s="52"/>
      <c r="I12" s="202" t="s">
        <v>31</v>
      </c>
      <c r="J12" s="214">
        <f>IF($J$5='1.Initial Parameters'!$D$3,'2. Input Data On-Premise '!F12,'2. Input Data On-Premise '!F12/(1+$K$4))</f>
        <v>0</v>
      </c>
      <c r="K12" s="215">
        <f>IF($K$5='1.Initial Parameters'!$D$3,'2. Input Data On-Premise '!F12,'2. Input Data On-Premise '!F12*(1+$K$4))</f>
        <v>0</v>
      </c>
      <c r="L12" s="216">
        <f t="shared" si="0"/>
        <v>0</v>
      </c>
      <c r="N12" s="210" t="s">
        <v>30</v>
      </c>
    </row>
    <row r="13" spans="2:14" x14ac:dyDescent="0.3">
      <c r="B13" s="464" t="s">
        <v>307</v>
      </c>
      <c r="C13" s="457" t="str">
        <f>'1.Initial Parameters'!$D$25</f>
        <v>EURO/year</v>
      </c>
      <c r="D13" s="457"/>
      <c r="E13" s="457"/>
      <c r="F13" s="465">
        <v>0</v>
      </c>
      <c r="G13" s="468"/>
      <c r="H13" s="52"/>
      <c r="I13" s="202" t="s">
        <v>32</v>
      </c>
      <c r="J13" s="214">
        <f>IF($J$5='1.Initial Parameters'!$D$3,'2. Input Data On-Premise '!F13,'2. Input Data On-Premise '!F13/(1+$K$4))</f>
        <v>0</v>
      </c>
      <c r="K13" s="215">
        <f>IF($K$5='1.Initial Parameters'!$D$3,'2. Input Data On-Premise '!F13,'2. Input Data On-Premise '!F13*(1+$K$4))</f>
        <v>0</v>
      </c>
      <c r="L13" s="216">
        <f t="shared" si="0"/>
        <v>0</v>
      </c>
      <c r="N13" s="210" t="s">
        <v>30</v>
      </c>
    </row>
    <row r="14" spans="2:14" x14ac:dyDescent="0.3">
      <c r="B14" s="464" t="s">
        <v>33</v>
      </c>
      <c r="C14" s="457" t="str">
        <f>JenotkaMěny</f>
        <v>EURO</v>
      </c>
      <c r="D14" s="457"/>
      <c r="E14" s="457"/>
      <c r="F14" s="465">
        <v>0</v>
      </c>
      <c r="G14" s="466"/>
      <c r="H14" s="52"/>
      <c r="I14" s="202" t="s">
        <v>31</v>
      </c>
      <c r="J14" s="214">
        <f>IF($J$5='1.Initial Parameters'!$D$3,'2. Input Data On-Premise '!F14,'2. Input Data On-Premise '!F14/(1+$K$4))</f>
        <v>0</v>
      </c>
      <c r="K14" s="215">
        <f>IF($K$5='1.Initial Parameters'!$D$3,'2. Input Data On-Premise '!F14,'2. Input Data On-Premise '!F14*(1+$K$4))</f>
        <v>0</v>
      </c>
      <c r="L14" s="216">
        <f t="shared" si="0"/>
        <v>0</v>
      </c>
      <c r="N14" s="210" t="s">
        <v>30</v>
      </c>
    </row>
    <row r="15" spans="2:14" x14ac:dyDescent="0.3">
      <c r="B15" s="464" t="s">
        <v>308</v>
      </c>
      <c r="C15" s="457" t="str">
        <f>'1.Initial Parameters'!$D$25</f>
        <v>EURO/year</v>
      </c>
      <c r="D15" s="457"/>
      <c r="E15" s="457"/>
      <c r="F15" s="465">
        <v>0</v>
      </c>
      <c r="G15" s="466"/>
      <c r="H15" s="52"/>
      <c r="I15" s="202" t="s">
        <v>32</v>
      </c>
      <c r="J15" s="214">
        <f>IF($J$5='1.Initial Parameters'!$D$3,'2. Input Data On-Premise '!F15,'2. Input Data On-Premise '!F15/(1+$K$4))</f>
        <v>0</v>
      </c>
      <c r="K15" s="215">
        <f>IF($K$5='1.Initial Parameters'!$D$3,'2. Input Data On-Premise '!F15,'2. Input Data On-Premise '!F15*(1+$K$4))</f>
        <v>0</v>
      </c>
      <c r="L15" s="216">
        <f t="shared" si="0"/>
        <v>0</v>
      </c>
      <c r="N15" s="210" t="s">
        <v>30</v>
      </c>
    </row>
    <row r="16" spans="2:14" x14ac:dyDescent="0.3">
      <c r="B16" s="464" t="s">
        <v>309</v>
      </c>
      <c r="C16" s="457" t="str">
        <f>JenotkaMěny</f>
        <v>EURO</v>
      </c>
      <c r="D16" s="457"/>
      <c r="E16" s="457"/>
      <c r="F16" s="465">
        <v>0</v>
      </c>
      <c r="G16" s="466"/>
      <c r="H16" s="52"/>
      <c r="I16" s="202" t="s">
        <v>31</v>
      </c>
      <c r="J16" s="214">
        <f>IF($J$5='1.Initial Parameters'!$D$3,'2. Input Data On-Premise '!F16,'2. Input Data On-Premise '!F16/(1+$K$4))</f>
        <v>0</v>
      </c>
      <c r="K16" s="215">
        <f>IF($K$5='1.Initial Parameters'!$D$3,'2. Input Data On-Premise '!F16,'2. Input Data On-Premise '!F16*(1+$K$4))</f>
        <v>0</v>
      </c>
      <c r="L16" s="216">
        <f t="shared" si="0"/>
        <v>0</v>
      </c>
      <c r="N16" s="210" t="s">
        <v>30</v>
      </c>
    </row>
    <row r="17" spans="2:14" ht="15" thickBot="1" x14ac:dyDescent="0.35">
      <c r="B17" s="467" t="s">
        <v>310</v>
      </c>
      <c r="C17" s="457" t="str">
        <f>'1.Initial Parameters'!$D$25</f>
        <v>EURO/year</v>
      </c>
      <c r="D17" s="457"/>
      <c r="E17" s="457"/>
      <c r="F17" s="465">
        <v>0</v>
      </c>
      <c r="G17" s="468"/>
      <c r="H17" s="52"/>
      <c r="I17" s="202" t="s">
        <v>32</v>
      </c>
      <c r="J17" s="217">
        <f>IF($J$5='1.Initial Parameters'!$D$3,'2. Input Data On-Premise '!F17,'2. Input Data On-Premise '!F17/(1+$K$4))</f>
        <v>0</v>
      </c>
      <c r="K17" s="218">
        <f>IF($K$5='1.Initial Parameters'!$D$3,'2. Input Data On-Premise '!F17,'2. Input Data On-Premise '!F17*(1+$K$4))</f>
        <v>0</v>
      </c>
      <c r="L17" s="219">
        <f t="shared" si="0"/>
        <v>0</v>
      </c>
      <c r="N17" s="210" t="s">
        <v>30</v>
      </c>
    </row>
    <row r="18" spans="2:14" ht="15" thickTop="1" x14ac:dyDescent="0.3">
      <c r="B18" s="469" t="s">
        <v>34</v>
      </c>
      <c r="C18" s="469" t="str">
        <f>JenotkaMěny</f>
        <v>EURO</v>
      </c>
      <c r="D18" s="286" t="str">
        <f>'1.Initial Parameters'!$D$11</f>
        <v>YES</v>
      </c>
      <c r="E18" s="285"/>
      <c r="F18" s="66">
        <f>OperacniSystem+F8+F10+WindowsSrvPoplatekRok+WindowsPoplatekRokUzivatel+F16</f>
        <v>0</v>
      </c>
      <c r="G18" s="470"/>
      <c r="H18" s="52"/>
      <c r="I18" s="220" t="s">
        <v>35</v>
      </c>
      <c r="J18" s="214">
        <f>J6+J8+J10+J12+J14+J16</f>
        <v>0</v>
      </c>
      <c r="K18" s="215">
        <f t="shared" ref="K18:L18" si="1">K6+K8+K10+K12+K14+K16</f>
        <v>0</v>
      </c>
      <c r="L18" s="216">
        <f t="shared" si="1"/>
        <v>0</v>
      </c>
      <c r="N18" s="210" t="s">
        <v>30</v>
      </c>
    </row>
    <row r="19" spans="2:14" ht="15" thickBot="1" x14ac:dyDescent="0.35">
      <c r="B19" s="471" t="s">
        <v>311</v>
      </c>
      <c r="C19" s="471" t="str">
        <f>'1.Initial Parameters'!$D$25</f>
        <v>EURO/year</v>
      </c>
      <c r="D19" s="287"/>
      <c r="E19" s="287"/>
      <c r="F19" s="67">
        <f>F7+F9+F11+F13+F15+F17</f>
        <v>0</v>
      </c>
      <c r="G19" s="472"/>
      <c r="H19" s="52"/>
      <c r="I19" s="220" t="s">
        <v>36</v>
      </c>
      <c r="J19" s="217">
        <f>J7+J9+J11+J13+J15+J17</f>
        <v>0</v>
      </c>
      <c r="K19" s="218">
        <f t="shared" ref="K19:L19" si="2">K7+K9+K11+K13+K15+K17</f>
        <v>0</v>
      </c>
      <c r="L19" s="219">
        <f t="shared" si="2"/>
        <v>0</v>
      </c>
      <c r="N19" s="210" t="s">
        <v>30</v>
      </c>
    </row>
    <row r="20" spans="2:14" ht="15" thickTop="1" x14ac:dyDescent="0.3">
      <c r="B20" s="450"/>
      <c r="C20" s="450"/>
      <c r="D20" s="450"/>
      <c r="E20" s="450"/>
      <c r="F20" s="473"/>
      <c r="G20" s="451"/>
      <c r="H20" s="52"/>
      <c r="N20" s="210" t="s">
        <v>30</v>
      </c>
    </row>
    <row r="21" spans="2:14" ht="23.25" customHeight="1" x14ac:dyDescent="0.3">
      <c r="B21" s="474" t="s">
        <v>313</v>
      </c>
      <c r="C21" s="474" t="s">
        <v>260</v>
      </c>
      <c r="D21" s="475" t="s">
        <v>316</v>
      </c>
      <c r="E21" s="474"/>
      <c r="F21" s="135" t="s">
        <v>291</v>
      </c>
      <c r="G21" s="476" t="s">
        <v>292</v>
      </c>
      <c r="H21" s="52"/>
      <c r="J21" s="211" t="s">
        <v>16</v>
      </c>
      <c r="K21" s="212" t="s">
        <v>17</v>
      </c>
      <c r="L21" s="213" t="str">
        <f>'4.TCO Calculation &amp; Comparsion'!$J$3</f>
        <v>VAT included</v>
      </c>
      <c r="N21" s="210" t="s">
        <v>30</v>
      </c>
    </row>
    <row r="22" spans="2:14" x14ac:dyDescent="0.3">
      <c r="B22" s="464" t="s">
        <v>314</v>
      </c>
      <c r="C22" s="457" t="str">
        <f>JenotkaMěny</f>
        <v>EURO</v>
      </c>
      <c r="D22" s="288" t="str">
        <f>'1.Initial Parameters'!$D$11</f>
        <v>YES</v>
      </c>
      <c r="E22" s="457"/>
      <c r="F22" s="465">
        <v>0</v>
      </c>
      <c r="G22" s="466"/>
      <c r="H22" s="52"/>
      <c r="I22" s="220" t="s">
        <v>37</v>
      </c>
      <c r="J22" s="214">
        <f>IF($J$5='1.Initial Parameters'!$D$3,'2. Input Data On-Premise '!F22,'2. Input Data On-Premise '!F22/(1+$K$4))</f>
        <v>0</v>
      </c>
      <c r="K22" s="215">
        <f>IF($K$5='1.Initial Parameters'!$D$3,'2. Input Data On-Premise '!F22,'2. Input Data On-Premise '!F22*(1+$K$4))</f>
        <v>0</v>
      </c>
      <c r="L22" s="216">
        <f>IF($L$166=$J$166,J22,K22)</f>
        <v>0</v>
      </c>
      <c r="N22" s="210" t="s">
        <v>30</v>
      </c>
    </row>
    <row r="23" spans="2:14" ht="15" thickBot="1" x14ac:dyDescent="0.35">
      <c r="B23" s="477" t="s">
        <v>315</v>
      </c>
      <c r="C23" s="471" t="str">
        <f>'1.Initial Parameters'!$D$25</f>
        <v>EURO/year</v>
      </c>
      <c r="D23" s="471"/>
      <c r="E23" s="471"/>
      <c r="F23" s="478">
        <v>0</v>
      </c>
      <c r="G23" s="472"/>
      <c r="H23" s="52"/>
      <c r="I23" s="220" t="s">
        <v>38</v>
      </c>
      <c r="J23" s="217">
        <f>IF($J$5='1.Initial Parameters'!$D$3,'2. Input Data On-Premise '!F23,'2. Input Data On-Premise '!F23/(1+$K$4))</f>
        <v>0</v>
      </c>
      <c r="K23" s="218">
        <f>IF($K$5='1.Initial Parameters'!$D$3,'2. Input Data On-Premise '!F23,'2. Input Data On-Premise '!F23*(1+$K$4))</f>
        <v>0</v>
      </c>
      <c r="L23" s="219">
        <f>IF($L$166=$J$166,J23,K23)</f>
        <v>0</v>
      </c>
      <c r="N23" s="210" t="s">
        <v>30</v>
      </c>
    </row>
    <row r="24" spans="2:14" ht="15" thickTop="1" x14ac:dyDescent="0.3">
      <c r="B24" s="450"/>
      <c r="C24" s="450"/>
      <c r="D24" s="450"/>
      <c r="E24" s="450"/>
      <c r="F24" s="473"/>
      <c r="G24" s="451"/>
      <c r="H24" s="52"/>
      <c r="N24" s="210" t="s">
        <v>30</v>
      </c>
    </row>
    <row r="25" spans="2:14" ht="19.2" x14ac:dyDescent="0.3">
      <c r="B25" s="474" t="s">
        <v>806</v>
      </c>
      <c r="C25" s="474" t="s">
        <v>260</v>
      </c>
      <c r="D25" s="475" t="s">
        <v>316</v>
      </c>
      <c r="E25" s="474"/>
      <c r="F25" s="135" t="s">
        <v>291</v>
      </c>
      <c r="G25" s="476" t="s">
        <v>292</v>
      </c>
      <c r="H25" s="52"/>
      <c r="J25" s="211" t="s">
        <v>16</v>
      </c>
      <c r="K25" s="212" t="s">
        <v>17</v>
      </c>
      <c r="L25" s="213" t="str">
        <f>'4.TCO Calculation &amp; Comparsion'!$J$3</f>
        <v>VAT included</v>
      </c>
      <c r="N25" s="210" t="s">
        <v>30</v>
      </c>
    </row>
    <row r="26" spans="2:14" x14ac:dyDescent="0.3">
      <c r="B26" s="464" t="s">
        <v>807</v>
      </c>
      <c r="C26" s="457" t="str">
        <f>JenotkaMěny</f>
        <v>EURO</v>
      </c>
      <c r="D26" s="289" t="str">
        <f>'1.Initial Parameters'!$D$11</f>
        <v>YES</v>
      </c>
      <c r="E26" s="457"/>
      <c r="F26" s="465">
        <v>0</v>
      </c>
      <c r="G26" s="466"/>
      <c r="H26" s="52"/>
      <c r="I26" s="220" t="s">
        <v>39</v>
      </c>
      <c r="J26" s="214">
        <f>IF($J$5='1.Initial Parameters'!$D$3,'2. Input Data On-Premise '!F26,'2. Input Data On-Premise '!F26/(1+$K$4))</f>
        <v>0</v>
      </c>
      <c r="K26" s="215">
        <f>IF($K$5='1.Initial Parameters'!$D$3,'2. Input Data On-Premise '!F26,'2. Input Data On-Premise '!F26*(1+$K$4))</f>
        <v>0</v>
      </c>
      <c r="L26" s="216">
        <f>IF($L$166=$J$166,J26,K26)</f>
        <v>0</v>
      </c>
      <c r="N26" s="210" t="s">
        <v>30</v>
      </c>
    </row>
    <row r="27" spans="2:14" ht="15" thickBot="1" x14ac:dyDescent="0.35">
      <c r="B27" s="477" t="s">
        <v>317</v>
      </c>
      <c r="C27" s="471" t="str">
        <f>'1.Initial Parameters'!$D$25</f>
        <v>EURO/year</v>
      </c>
      <c r="D27" s="471"/>
      <c r="E27" s="471"/>
      <c r="F27" s="478">
        <v>0</v>
      </c>
      <c r="G27" s="472"/>
      <c r="H27" s="52"/>
      <c r="I27" s="220" t="s">
        <v>40</v>
      </c>
      <c r="J27" s="217">
        <f>IF($J$5='1.Initial Parameters'!$D$3,'2. Input Data On-Premise '!F27,'2. Input Data On-Premise '!F27/(1+$K$4))</f>
        <v>0</v>
      </c>
      <c r="K27" s="218">
        <f>IF($K$5='1.Initial Parameters'!$D$3,'2. Input Data On-Premise '!F27,'2. Input Data On-Premise '!F27*(1+$K$4))</f>
        <v>0</v>
      </c>
      <c r="L27" s="219">
        <f>IF($L$166=$J$166,J27,K27)</f>
        <v>0</v>
      </c>
      <c r="N27" s="210" t="s">
        <v>30</v>
      </c>
    </row>
    <row r="28" spans="2:14" ht="15" thickTop="1" x14ac:dyDescent="0.3">
      <c r="B28" s="450"/>
      <c r="C28" s="450"/>
      <c r="D28" s="450"/>
      <c r="E28" s="450"/>
      <c r="F28" s="473"/>
      <c r="G28" s="451"/>
      <c r="H28" s="52"/>
      <c r="N28" s="210" t="s">
        <v>30</v>
      </c>
    </row>
    <row r="29" spans="2:14" ht="43.2" customHeight="1" x14ac:dyDescent="0.3">
      <c r="B29" s="474" t="s">
        <v>812</v>
      </c>
      <c r="C29" s="474" t="s">
        <v>260</v>
      </c>
      <c r="D29" s="111" t="s">
        <v>323</v>
      </c>
      <c r="E29" s="474"/>
      <c r="F29" s="135" t="s">
        <v>291</v>
      </c>
      <c r="G29" s="476" t="s">
        <v>251</v>
      </c>
      <c r="H29" s="52"/>
      <c r="I29" s="221"/>
      <c r="J29" s="211" t="s">
        <v>16</v>
      </c>
      <c r="K29" s="212" t="s">
        <v>17</v>
      </c>
      <c r="L29" s="213" t="str">
        <f>'4.TCO Calculation &amp; Comparsion'!$J$3</f>
        <v>VAT included</v>
      </c>
      <c r="N29" s="210" t="s">
        <v>30</v>
      </c>
    </row>
    <row r="30" spans="2:14" x14ac:dyDescent="0.3">
      <c r="B30" s="464" t="s">
        <v>319</v>
      </c>
      <c r="C30" s="457" t="str">
        <f>JenotkaMěny</f>
        <v>EURO</v>
      </c>
      <c r="D30" s="289" t="str">
        <f>'1.Initial Parameters'!$D$11</f>
        <v>YES</v>
      </c>
      <c r="E30" s="457"/>
      <c r="F30" s="465">
        <v>0</v>
      </c>
      <c r="G30" s="466"/>
      <c r="H30" s="52"/>
      <c r="I30" s="220" t="s">
        <v>41</v>
      </c>
      <c r="J30" s="214">
        <f>IF($J$5='1.Initial Parameters'!$D$3,'2. Input Data On-Premise '!F30,'2. Input Data On-Premise '!F30/(1+$K$4))</f>
        <v>0</v>
      </c>
      <c r="K30" s="215">
        <f>IF($K$5='1.Initial Parameters'!$D$3,'2. Input Data On-Premise '!F30,'2. Input Data On-Premise '!F30*(1+$K$4))</f>
        <v>0</v>
      </c>
      <c r="L30" s="216">
        <f t="shared" ref="L30:L35" si="3">IF($L$166=$J$166,J30,K30)</f>
        <v>0</v>
      </c>
      <c r="N30" s="210" t="s">
        <v>30</v>
      </c>
    </row>
    <row r="31" spans="2:14" x14ac:dyDescent="0.3">
      <c r="B31" s="464" t="s">
        <v>320</v>
      </c>
      <c r="C31" s="457" t="str">
        <f>'1.Initial Parameters'!$D$25</f>
        <v>EURO/year</v>
      </c>
      <c r="D31" s="457"/>
      <c r="E31" s="457"/>
      <c r="F31" s="465">
        <v>0</v>
      </c>
      <c r="G31" s="466"/>
      <c r="H31" s="52"/>
      <c r="I31" s="220" t="s">
        <v>42</v>
      </c>
      <c r="J31" s="214">
        <f>IF($J$5='1.Initial Parameters'!$D$3,'2. Input Data On-Premise '!F31,'2. Input Data On-Premise '!F31/(1+$K$4))</f>
        <v>0</v>
      </c>
      <c r="K31" s="215">
        <f>IF($K$5='1.Initial Parameters'!$D$3,'2. Input Data On-Premise '!F31,'2. Input Data On-Premise '!F31*(1+$K$4))</f>
        <v>0</v>
      </c>
      <c r="L31" s="216">
        <f t="shared" si="3"/>
        <v>0</v>
      </c>
      <c r="N31" s="210" t="s">
        <v>30</v>
      </c>
    </row>
    <row r="32" spans="2:14" x14ac:dyDescent="0.3">
      <c r="B32" s="464" t="s">
        <v>309</v>
      </c>
      <c r="C32" s="457" t="str">
        <f>JenotkaMěny</f>
        <v>EURO</v>
      </c>
      <c r="D32" s="289" t="str">
        <f>'1.Initial Parameters'!$D$11</f>
        <v>YES</v>
      </c>
      <c r="E32" s="457"/>
      <c r="F32" s="465">
        <v>0</v>
      </c>
      <c r="G32" s="466"/>
      <c r="H32" s="52"/>
      <c r="I32" s="220" t="s">
        <v>41</v>
      </c>
      <c r="J32" s="214">
        <f>IF($J$5='1.Initial Parameters'!$D$3,'2. Input Data On-Premise '!F32,'2. Input Data On-Premise '!F32/(1+$K$4))</f>
        <v>0</v>
      </c>
      <c r="K32" s="215">
        <f>IF($K$5='1.Initial Parameters'!$D$3,'2. Input Data On-Premise '!F32,'2. Input Data On-Premise '!F32*(1+$K$4))</f>
        <v>0</v>
      </c>
      <c r="L32" s="216">
        <f t="shared" si="3"/>
        <v>0</v>
      </c>
      <c r="N32" s="210" t="s">
        <v>30</v>
      </c>
    </row>
    <row r="33" spans="2:14" x14ac:dyDescent="0.3">
      <c r="B33" s="467" t="s">
        <v>321</v>
      </c>
      <c r="C33" s="479" t="str">
        <f>'1.Initial Parameters'!$D$25</f>
        <v>EURO/year</v>
      </c>
      <c r="D33" s="457"/>
      <c r="E33" s="457"/>
      <c r="F33" s="480">
        <v>0</v>
      </c>
      <c r="G33" s="468"/>
      <c r="H33" s="52"/>
      <c r="I33" s="220" t="s">
        <v>42</v>
      </c>
      <c r="J33" s="214">
        <f>IF($J$5='1.Initial Parameters'!$D$3,'2. Input Data On-Premise '!F33,'2. Input Data On-Premise '!F33/(1+$K$4))</f>
        <v>0</v>
      </c>
      <c r="K33" s="215">
        <f>IF($K$5='1.Initial Parameters'!$D$3,'2. Input Data On-Premise '!F33,'2. Input Data On-Premise '!F33*(1+$K$4))</f>
        <v>0</v>
      </c>
      <c r="L33" s="216">
        <f t="shared" si="3"/>
        <v>0</v>
      </c>
      <c r="N33" s="210" t="s">
        <v>30</v>
      </c>
    </row>
    <row r="34" spans="2:14" ht="27.6" x14ac:dyDescent="0.3">
      <c r="B34" s="481" t="s">
        <v>322</v>
      </c>
      <c r="C34" s="482" t="str">
        <f>'1.Initial Parameters'!D27</f>
        <v>Hour/year</v>
      </c>
      <c r="D34" s="483">
        <v>2</v>
      </c>
      <c r="E34" s="484">
        <f>VLOOKUP(D34,'1.Initial Parameters'!$D$44:$E$46,2,FALSE)</f>
        <v>657</v>
      </c>
      <c r="F34" s="485">
        <v>0</v>
      </c>
      <c r="G34" s="486"/>
      <c r="H34" s="52"/>
      <c r="I34" s="220" t="s">
        <v>43</v>
      </c>
      <c r="J34" s="222">
        <f>E34*F34</f>
        <v>0</v>
      </c>
      <c r="K34" s="223">
        <f>E34*F34</f>
        <v>0</v>
      </c>
      <c r="L34" s="224">
        <f t="shared" si="3"/>
        <v>0</v>
      </c>
      <c r="N34" s="210" t="s">
        <v>44</v>
      </c>
    </row>
    <row r="35" spans="2:14" ht="28.2" thickBot="1" x14ac:dyDescent="0.35">
      <c r="B35" s="487" t="s">
        <v>322</v>
      </c>
      <c r="C35" s="471" t="str">
        <f>'1.Initial Parameters'!$D$25</f>
        <v>EURO/year</v>
      </c>
      <c r="D35" s="488"/>
      <c r="E35" s="489"/>
      <c r="F35" s="490">
        <v>0</v>
      </c>
      <c r="G35" s="491"/>
      <c r="H35" s="52"/>
      <c r="I35" s="220" t="s">
        <v>43</v>
      </c>
      <c r="J35" s="225">
        <f>IF($J$5='1.Initial Parameters'!$D$3,'2. Input Data On-Premise '!F35,'2. Input Data On-Premise '!F35/(1+$K$4))</f>
        <v>0</v>
      </c>
      <c r="K35" s="226">
        <f>IF($K$5='1.Initial Parameters'!$D$3,'2. Input Data On-Premise '!F35,'2. Input Data On-Premise '!F35*(1+$K$4))</f>
        <v>0</v>
      </c>
      <c r="L35" s="227">
        <f t="shared" si="3"/>
        <v>0</v>
      </c>
      <c r="N35" s="210" t="s">
        <v>30</v>
      </c>
    </row>
    <row r="36" spans="2:14" ht="15" thickTop="1" x14ac:dyDescent="0.3">
      <c r="B36" s="450"/>
      <c r="C36" s="450"/>
      <c r="D36" s="450"/>
      <c r="E36" s="450"/>
      <c r="F36" s="450"/>
      <c r="G36" s="451"/>
      <c r="H36" s="52"/>
      <c r="N36" s="210" t="s">
        <v>30</v>
      </c>
    </row>
    <row r="37" spans="2:14" ht="19.2" x14ac:dyDescent="0.3">
      <c r="B37" s="474" t="s">
        <v>813</v>
      </c>
      <c r="C37" s="474" t="s">
        <v>260</v>
      </c>
      <c r="D37" s="475" t="s">
        <v>316</v>
      </c>
      <c r="E37" s="474"/>
      <c r="F37" s="135" t="s">
        <v>291</v>
      </c>
      <c r="G37" s="476" t="s">
        <v>292</v>
      </c>
      <c r="H37" s="52"/>
      <c r="J37" s="211" t="s">
        <v>16</v>
      </c>
      <c r="K37" s="212" t="s">
        <v>17</v>
      </c>
      <c r="L37" s="213" t="str">
        <f>'4.TCO Calculation &amp; Comparsion'!$J$3</f>
        <v>VAT included</v>
      </c>
      <c r="N37" s="210" t="s">
        <v>30</v>
      </c>
    </row>
    <row r="38" spans="2:14" x14ac:dyDescent="0.3">
      <c r="B38" s="464" t="s">
        <v>324</v>
      </c>
      <c r="C38" s="457" t="str">
        <f>JenotkaMěny</f>
        <v>EURO</v>
      </c>
      <c r="D38" s="289" t="str">
        <f>'1.Initial Parameters'!$D$11</f>
        <v>YES</v>
      </c>
      <c r="E38" s="457"/>
      <c r="F38" s="465">
        <v>0</v>
      </c>
      <c r="G38" s="466"/>
      <c r="H38" s="52"/>
      <c r="I38" s="220" t="s">
        <v>45</v>
      </c>
      <c r="J38" s="214">
        <f>IF($J$5='1.Initial Parameters'!$D$3,'2. Input Data On-Premise '!F38,'2. Input Data On-Premise '!F38/(1+$K$4))</f>
        <v>0</v>
      </c>
      <c r="K38" s="215">
        <f>IF($K$5='1.Initial Parameters'!$D$3,'2. Input Data On-Premise '!F38,'2. Input Data On-Premise '!F38*(1+$K$4))</f>
        <v>0</v>
      </c>
      <c r="L38" s="216">
        <f>IF($L$166=$J$166,J38,K38)</f>
        <v>0</v>
      </c>
      <c r="N38" s="210" t="s">
        <v>30</v>
      </c>
    </row>
    <row r="39" spans="2:14" ht="15" thickBot="1" x14ac:dyDescent="0.35">
      <c r="B39" s="477" t="s">
        <v>325</v>
      </c>
      <c r="C39" s="471" t="str">
        <f>'1.Initial Parameters'!$D$25</f>
        <v>EURO/year</v>
      </c>
      <c r="D39" s="471"/>
      <c r="E39" s="471"/>
      <c r="F39" s="478">
        <v>0</v>
      </c>
      <c r="G39" s="492"/>
      <c r="H39" s="52"/>
      <c r="I39" s="220" t="s">
        <v>46</v>
      </c>
      <c r="J39" s="217">
        <f>IF($J$5='1.Initial Parameters'!$D$3,'2. Input Data On-Premise '!F39,'2. Input Data On-Premise '!F39/(1+$K$4))</f>
        <v>0</v>
      </c>
      <c r="K39" s="218">
        <f>IF($K$5='1.Initial Parameters'!$D$3,'2. Input Data On-Premise '!F39,'2. Input Data On-Premise '!F39*(1+$K$4))</f>
        <v>0</v>
      </c>
      <c r="L39" s="219">
        <f>IF($L$166=$J$166,J39,K39)</f>
        <v>0</v>
      </c>
      <c r="N39" s="210" t="s">
        <v>30</v>
      </c>
    </row>
    <row r="40" spans="2:14" ht="15" thickTop="1" x14ac:dyDescent="0.3">
      <c r="B40" s="464"/>
      <c r="C40" s="457"/>
      <c r="D40" s="457"/>
      <c r="E40" s="457"/>
      <c r="F40" s="493"/>
      <c r="G40" s="466"/>
      <c r="H40" s="52"/>
      <c r="N40" s="210" t="s">
        <v>30</v>
      </c>
    </row>
    <row r="41" spans="2:14" ht="45.75" customHeight="1" x14ac:dyDescent="0.3">
      <c r="B41" s="463" t="s">
        <v>326</v>
      </c>
      <c r="C41" s="474" t="s">
        <v>260</v>
      </c>
      <c r="D41" s="111" t="s">
        <v>323</v>
      </c>
      <c r="E41" s="474"/>
      <c r="F41" s="135" t="s">
        <v>291</v>
      </c>
      <c r="G41" s="476" t="s">
        <v>251</v>
      </c>
      <c r="H41" s="52"/>
      <c r="J41" s="211" t="s">
        <v>16</v>
      </c>
      <c r="K41" s="212" t="s">
        <v>17</v>
      </c>
      <c r="L41" s="213" t="str">
        <f>'4.TCO Calculation &amp; Comparsion'!$J$3</f>
        <v>VAT included</v>
      </c>
      <c r="N41" s="210" t="s">
        <v>30</v>
      </c>
    </row>
    <row r="42" spans="2:14" ht="25.95" customHeight="1" x14ac:dyDescent="0.3">
      <c r="B42" s="494" t="s">
        <v>326</v>
      </c>
      <c r="C42" s="479" t="str">
        <f>JenotkaMěny</f>
        <v>EURO</v>
      </c>
      <c r="D42" s="295" t="str">
        <f>'1.Initial Parameters'!$D$11</f>
        <v>YES</v>
      </c>
      <c r="E42" s="495"/>
      <c r="F42" s="496">
        <v>0</v>
      </c>
      <c r="G42" s="497"/>
      <c r="H42" s="52"/>
      <c r="I42" s="220" t="s">
        <v>47</v>
      </c>
      <c r="J42" s="228">
        <f>ROUND(IF('1.Initial Parameters'!$D$3=$J$261,F42,F42/(1+$K$260)),0)</f>
        <v>0</v>
      </c>
      <c r="K42" s="229">
        <f>ROUND(IF('1.Initial Parameters'!$D$3=$K$261,F42,F42*(1+$K$260)),0)</f>
        <v>0</v>
      </c>
      <c r="L42" s="216">
        <f>IF($L$261=$J$261,J42,K42)</f>
        <v>0</v>
      </c>
      <c r="N42" s="210" t="s">
        <v>30</v>
      </c>
    </row>
    <row r="43" spans="2:14" ht="16.95" customHeight="1" x14ac:dyDescent="0.3">
      <c r="B43" s="498" t="s">
        <v>327</v>
      </c>
      <c r="C43" s="499" t="str">
        <f>'1.Initial Parameters'!D35</f>
        <v>Hour</v>
      </c>
      <c r="D43" s="500">
        <v>2</v>
      </c>
      <c r="E43" s="501">
        <f>VLOOKUP(D43,'1.Initial Parameters'!$D$44:$E$46,2,FALSE)</f>
        <v>657</v>
      </c>
      <c r="F43" s="502">
        <v>0</v>
      </c>
      <c r="G43" s="503"/>
      <c r="H43" s="52"/>
      <c r="I43" s="220" t="s">
        <v>48</v>
      </c>
      <c r="J43" s="222"/>
      <c r="K43" s="223"/>
      <c r="L43" s="224"/>
      <c r="N43" s="210" t="s">
        <v>49</v>
      </c>
    </row>
    <row r="44" spans="2:14" ht="16.95" customHeight="1" thickBot="1" x14ac:dyDescent="0.35">
      <c r="B44" s="127" t="s">
        <v>328</v>
      </c>
      <c r="C44" s="504" t="str">
        <f>JenotkaMěny</f>
        <v>EURO</v>
      </c>
      <c r="D44" s="294" t="str">
        <f>'1.Initial Parameters'!$D$11</f>
        <v>YES</v>
      </c>
      <c r="E44" s="489"/>
      <c r="F44" s="68">
        <f>E43*F43</f>
        <v>0</v>
      </c>
      <c r="G44" s="505"/>
      <c r="H44" s="52"/>
      <c r="I44" s="220" t="s">
        <v>50</v>
      </c>
      <c r="J44" s="214">
        <f>E43*F43</f>
        <v>0</v>
      </c>
      <c r="K44" s="215">
        <f>E43*F43</f>
        <v>0</v>
      </c>
      <c r="L44" s="216">
        <f>IF($L$166=$J$166,J44,K44)</f>
        <v>0</v>
      </c>
      <c r="N44" s="210" t="s">
        <v>30</v>
      </c>
    </row>
    <row r="45" spans="2:14" ht="15.6" thickTop="1" thickBot="1" x14ac:dyDescent="0.35">
      <c r="B45" s="464"/>
      <c r="C45" s="457"/>
      <c r="D45" s="457"/>
      <c r="E45" s="457"/>
      <c r="F45" s="493"/>
      <c r="G45" s="466"/>
      <c r="H45" s="52"/>
      <c r="N45" s="210" t="s">
        <v>30</v>
      </c>
    </row>
    <row r="46" spans="2:14" ht="15" thickBot="1" x14ac:dyDescent="0.35">
      <c r="B46" s="458" t="s">
        <v>329</v>
      </c>
      <c r="C46" s="459"/>
      <c r="D46" s="459"/>
      <c r="E46" s="459"/>
      <c r="F46" s="460"/>
      <c r="G46" s="461"/>
      <c r="H46" s="52"/>
      <c r="N46" s="210" t="s">
        <v>30</v>
      </c>
    </row>
    <row r="47" spans="2:14" ht="43.2" customHeight="1" x14ac:dyDescent="0.3">
      <c r="B47" s="134"/>
      <c r="C47" s="474" t="s">
        <v>260</v>
      </c>
      <c r="D47" s="111" t="s">
        <v>323</v>
      </c>
      <c r="E47" s="474"/>
      <c r="F47" s="135" t="s">
        <v>291</v>
      </c>
      <c r="G47" s="476" t="s">
        <v>251</v>
      </c>
      <c r="H47" s="52"/>
      <c r="J47" s="211" t="s">
        <v>16</v>
      </c>
      <c r="K47" s="212" t="s">
        <v>17</v>
      </c>
      <c r="L47" s="213" t="str">
        <f>'4.TCO Calculation &amp; Comparsion'!$J$3</f>
        <v>VAT included</v>
      </c>
      <c r="N47" s="210" t="s">
        <v>30</v>
      </c>
    </row>
    <row r="48" spans="2:14" x14ac:dyDescent="0.3">
      <c r="B48" s="123" t="s">
        <v>330</v>
      </c>
      <c r="C48" s="457" t="str">
        <f>JenotkaMěny</f>
        <v>EURO</v>
      </c>
      <c r="D48" s="288" t="str">
        <f>'1.Initial Parameters'!$D$11</f>
        <v>YES</v>
      </c>
      <c r="E48" s="499"/>
      <c r="F48" s="506">
        <v>0</v>
      </c>
      <c r="G48" s="503"/>
      <c r="H48" s="52"/>
      <c r="I48" s="220" t="s">
        <v>51</v>
      </c>
      <c r="J48" s="214">
        <f>IF($J$5='1.Initial Parameters'!$D$3,'2. Input Data On-Premise '!F48,'2. Input Data On-Premise '!F48/(1+$K$4))</f>
        <v>0</v>
      </c>
      <c r="K48" s="215">
        <f>IF($K$5='1.Initial Parameters'!$D$3,'2. Input Data On-Premise '!F48,'2. Input Data On-Premise '!F48*(1+$K$4))</f>
        <v>0</v>
      </c>
      <c r="L48" s="216">
        <f>IF($L$166=$J$166,J48,K48)</f>
        <v>0</v>
      </c>
      <c r="N48" s="210" t="s">
        <v>30</v>
      </c>
    </row>
    <row r="49" spans="1:18" x14ac:dyDescent="0.3">
      <c r="A49" s="450"/>
      <c r="B49" s="123" t="s">
        <v>331</v>
      </c>
      <c r="C49" s="457" t="str">
        <f>JenotkaMěny</f>
        <v>EURO</v>
      </c>
      <c r="D49" s="288" t="str">
        <f>'1.Initial Parameters'!$D$11</f>
        <v>YES</v>
      </c>
      <c r="E49" s="499"/>
      <c r="F49" s="506">
        <v>0</v>
      </c>
      <c r="G49" s="503"/>
      <c r="H49" s="52"/>
      <c r="I49" s="220" t="s">
        <v>52</v>
      </c>
      <c r="J49" s="214">
        <f>IF($J$5='1.Initial Parameters'!$D$3,'2. Input Data On-Premise '!F49,'2. Input Data On-Premise '!F49/(1+$K$4))</f>
        <v>0</v>
      </c>
      <c r="K49" s="215">
        <f>IF($K$5='1.Initial Parameters'!$D$3,'2. Input Data On-Premise '!F49,'2. Input Data On-Premise '!F49*(1+$K$4))</f>
        <v>0</v>
      </c>
      <c r="L49" s="216">
        <f>IF($L$166=$J$166,J49,K49)</f>
        <v>0</v>
      </c>
      <c r="N49" s="210" t="s">
        <v>30</v>
      </c>
    </row>
    <row r="50" spans="1:18" x14ac:dyDescent="0.3">
      <c r="A50" s="450"/>
      <c r="B50" s="123" t="s">
        <v>332</v>
      </c>
      <c r="C50" s="479" t="str">
        <f>'1.Initial Parameters'!$D$25</f>
        <v>EURO/year</v>
      </c>
      <c r="D50" s="507"/>
      <c r="E50" s="507"/>
      <c r="F50" s="506">
        <v>0</v>
      </c>
      <c r="G50" s="508"/>
      <c r="H50" s="52"/>
      <c r="I50" s="220" t="s">
        <v>53</v>
      </c>
      <c r="J50" s="214">
        <f>IF($J$5='1.Initial Parameters'!$D$3,'2. Input Data On-Premise '!F50,'2. Input Data On-Premise '!F50/(1+$K$4))</f>
        <v>0</v>
      </c>
      <c r="K50" s="215">
        <f>IF($K$5='1.Initial Parameters'!$D$3,'2. Input Data On-Premise '!F50,'2. Input Data On-Premise '!F50*(1+$K$4))</f>
        <v>0</v>
      </c>
      <c r="L50" s="216">
        <f>IF($L$166=$J$166,J50,K50)</f>
        <v>0</v>
      </c>
      <c r="N50" s="210" t="s">
        <v>30</v>
      </c>
    </row>
    <row r="51" spans="1:18" ht="24.6" customHeight="1" x14ac:dyDescent="0.3">
      <c r="A51" s="450"/>
      <c r="B51" s="509" t="s">
        <v>333</v>
      </c>
      <c r="C51" s="482" t="str">
        <f>'1.Initial Parameters'!D27</f>
        <v>Hour/year</v>
      </c>
      <c r="D51" s="483">
        <v>2</v>
      </c>
      <c r="E51" s="484">
        <f>VLOOKUP(D51,'1.Initial Parameters'!$D$44:$E$46,2,FALSE)</f>
        <v>657</v>
      </c>
      <c r="F51" s="485">
        <v>0</v>
      </c>
      <c r="G51" s="486"/>
      <c r="H51" s="52"/>
      <c r="I51" s="220" t="s">
        <v>54</v>
      </c>
      <c r="J51" s="230">
        <f>E51*F51</f>
        <v>0</v>
      </c>
      <c r="K51" s="231">
        <f>E51*F51</f>
        <v>0</v>
      </c>
      <c r="L51" s="232">
        <f>IF($L$166=$J$166,J51,K51)</f>
        <v>0</v>
      </c>
      <c r="N51" s="210" t="s">
        <v>44</v>
      </c>
    </row>
    <row r="52" spans="1:18" ht="24.6" customHeight="1" thickBot="1" x14ac:dyDescent="0.35">
      <c r="A52" s="450"/>
      <c r="B52" s="510" t="s">
        <v>334</v>
      </c>
      <c r="C52" s="471" t="str">
        <f>'1.Initial Parameters'!$D$25</f>
        <v>EURO/year</v>
      </c>
      <c r="D52" s="488"/>
      <c r="E52" s="489"/>
      <c r="F52" s="490">
        <v>0</v>
      </c>
      <c r="G52" s="491"/>
      <c r="H52" s="52"/>
      <c r="I52" s="220" t="s">
        <v>54</v>
      </c>
      <c r="J52" s="225">
        <f>IF($J$5='1.Initial Parameters'!$D$3,'2. Input Data On-Premise '!F52,'2. Input Data On-Premise '!F52/(1+$K$4))</f>
        <v>0</v>
      </c>
      <c r="K52" s="226">
        <f>IF($K$5='1.Initial Parameters'!$D$3,'2. Input Data On-Premise '!F52,'2. Input Data On-Premise '!F52*(1+$K$4))</f>
        <v>0</v>
      </c>
      <c r="L52" s="227">
        <f>IF($L$166=$J$166,J52,K52)</f>
        <v>0</v>
      </c>
      <c r="N52" s="210" t="s">
        <v>30</v>
      </c>
    </row>
    <row r="53" spans="1:18" ht="15" thickTop="1" x14ac:dyDescent="0.3">
      <c r="A53" s="450"/>
      <c r="B53" s="464"/>
      <c r="C53" s="457"/>
      <c r="D53" s="457"/>
      <c r="E53" s="457"/>
      <c r="F53" s="493"/>
      <c r="G53" s="466"/>
      <c r="H53" s="52"/>
      <c r="N53" s="210" t="s">
        <v>30</v>
      </c>
      <c r="O53" s="210"/>
    </row>
    <row r="54" spans="1:18" x14ac:dyDescent="0.3">
      <c r="A54" s="450"/>
      <c r="B54" s="450"/>
      <c r="C54" s="450"/>
      <c r="D54" s="450"/>
      <c r="E54" s="450"/>
      <c r="F54" s="450"/>
      <c r="G54" s="451"/>
      <c r="H54" s="52"/>
      <c r="N54" s="210" t="s">
        <v>30</v>
      </c>
      <c r="O54" s="210"/>
    </row>
    <row r="55" spans="1:18" x14ac:dyDescent="0.3">
      <c r="A55" s="450"/>
      <c r="B55" s="511" t="s">
        <v>55</v>
      </c>
      <c r="C55" s="512"/>
      <c r="D55" s="512"/>
      <c r="E55" s="512"/>
      <c r="F55" s="513"/>
      <c r="G55" s="514"/>
      <c r="H55" s="52"/>
      <c r="N55" s="210" t="s">
        <v>30</v>
      </c>
      <c r="O55" s="210"/>
    </row>
    <row r="56" spans="1:18" ht="41.4" customHeight="1" x14ac:dyDescent="0.3">
      <c r="A56" s="450"/>
      <c r="B56" s="474" t="s">
        <v>56</v>
      </c>
      <c r="C56" s="474" t="s">
        <v>260</v>
      </c>
      <c r="D56" s="111" t="s">
        <v>323</v>
      </c>
      <c r="E56" s="474"/>
      <c r="F56" s="135" t="s">
        <v>291</v>
      </c>
      <c r="G56" s="476" t="s">
        <v>251</v>
      </c>
      <c r="H56" s="13"/>
      <c r="I56" s="233"/>
      <c r="J56" s="211" t="s">
        <v>16</v>
      </c>
      <c r="K56" s="212" t="s">
        <v>17</v>
      </c>
      <c r="L56" s="213" t="str">
        <f>'4.TCO Calculation &amp; Comparsion'!$J$3</f>
        <v>VAT included</v>
      </c>
      <c r="N56" s="210" t="s">
        <v>30</v>
      </c>
      <c r="O56" s="210"/>
    </row>
    <row r="57" spans="1:18" x14ac:dyDescent="0.3">
      <c r="A57" s="450"/>
      <c r="B57" s="515" t="s">
        <v>335</v>
      </c>
      <c r="C57" s="516" t="str">
        <f>'1.Initial Parameters'!D37</f>
        <v>Year</v>
      </c>
      <c r="D57" s="450"/>
      <c r="E57" s="516"/>
      <c r="F57" s="69">
        <f>DelkaProjektu</f>
        <v>5</v>
      </c>
      <c r="G57" s="517"/>
      <c r="H57" s="13"/>
      <c r="I57" s="234"/>
      <c r="J57" s="233"/>
      <c r="K57" s="233"/>
      <c r="N57" s="210" t="s">
        <v>30</v>
      </c>
      <c r="O57" s="210"/>
    </row>
    <row r="58" spans="1:18" x14ac:dyDescent="0.3">
      <c r="A58" s="450"/>
      <c r="B58" s="467" t="s">
        <v>336</v>
      </c>
      <c r="C58" s="516" t="str">
        <f>JenotkaMěny</f>
        <v>EURO</v>
      </c>
      <c r="D58" s="289" t="str">
        <f>'1.Initial Parameters'!$D$11</f>
        <v>YES</v>
      </c>
      <c r="E58" s="516"/>
      <c r="F58" s="48">
        <v>0</v>
      </c>
      <c r="G58" s="517" t="s">
        <v>340</v>
      </c>
      <c r="H58" s="13"/>
      <c r="I58" s="235" t="s">
        <v>57</v>
      </c>
      <c r="J58" s="214">
        <f>IF($J$5='1.Initial Parameters'!$D$3,'2. Input Data On-Premise '!F58,'2. Input Data On-Premise '!F58/(1+$K$4))</f>
        <v>0</v>
      </c>
      <c r="K58" s="215">
        <f>IF($K$5='1.Initial Parameters'!$D$3,'2. Input Data On-Premise '!F58,'2. Input Data On-Premise '!F58*(1+$K$4))</f>
        <v>0</v>
      </c>
      <c r="L58" s="216">
        <f>IF($L$166=$J$166,J58,K58)</f>
        <v>0</v>
      </c>
      <c r="N58" s="210" t="s">
        <v>30</v>
      </c>
      <c r="O58" s="210"/>
    </row>
    <row r="59" spans="1:18" x14ac:dyDescent="0.3">
      <c r="A59" s="450"/>
      <c r="B59" s="515" t="s">
        <v>337</v>
      </c>
      <c r="C59" s="516" t="str">
        <f>'1.Initial Parameters'!$D$25</f>
        <v>EURO/year</v>
      </c>
      <c r="D59" s="516"/>
      <c r="E59" s="516"/>
      <c r="F59" s="48">
        <v>0</v>
      </c>
      <c r="G59" s="518"/>
      <c r="H59" s="13"/>
      <c r="I59" s="235" t="s">
        <v>58</v>
      </c>
      <c r="J59" s="214">
        <f>IF($J$5='1.Initial Parameters'!$D$3,'2. Input Data On-Premise '!F59,'2. Input Data On-Premise '!F59/(1+$K$4))</f>
        <v>0</v>
      </c>
      <c r="K59" s="215">
        <f>IF($K$5='1.Initial Parameters'!$D$3,'2. Input Data On-Premise '!F59,'2. Input Data On-Premise '!F59*(1+$K$4))</f>
        <v>0</v>
      </c>
      <c r="L59" s="216">
        <f>IF($L$166=$J$166,J59,K59)</f>
        <v>0</v>
      </c>
      <c r="N59" s="210" t="s">
        <v>30</v>
      </c>
      <c r="O59" s="210"/>
    </row>
    <row r="60" spans="1:18" ht="27.6" x14ac:dyDescent="0.3">
      <c r="A60" s="450"/>
      <c r="B60" s="509" t="s">
        <v>338</v>
      </c>
      <c r="C60" s="519" t="str">
        <f>'1.Initial Parameters'!D27</f>
        <v>Hour/year</v>
      </c>
      <c r="D60" s="483">
        <v>2</v>
      </c>
      <c r="E60" s="484">
        <f>VLOOKUP(D60,'1.Initial Parameters'!$D$44:$E$46,2,FALSE)</f>
        <v>657</v>
      </c>
      <c r="F60" s="485">
        <v>0</v>
      </c>
      <c r="G60" s="486"/>
      <c r="H60" s="13"/>
      <c r="I60" s="235" t="s">
        <v>59</v>
      </c>
      <c r="J60" s="222">
        <f>E60*F60</f>
        <v>0</v>
      </c>
      <c r="K60" s="223">
        <f>E60*F60</f>
        <v>0</v>
      </c>
      <c r="L60" s="224">
        <f>IF($L$166=$J$166,J60,K60)</f>
        <v>0</v>
      </c>
      <c r="N60" s="210" t="s">
        <v>44</v>
      </c>
    </row>
    <row r="61" spans="1:18" ht="28.2" thickBot="1" x14ac:dyDescent="0.35">
      <c r="A61" s="450"/>
      <c r="B61" s="510" t="s">
        <v>339</v>
      </c>
      <c r="C61" s="520" t="str">
        <f>'1.Initial Parameters'!$D$25</f>
        <v>EURO/year</v>
      </c>
      <c r="D61" s="488"/>
      <c r="E61" s="489"/>
      <c r="F61" s="490">
        <v>0</v>
      </c>
      <c r="G61" s="491"/>
      <c r="H61" s="13"/>
      <c r="I61" s="235" t="s">
        <v>59</v>
      </c>
      <c r="J61" s="222">
        <f>IF($J$5='1.Initial Parameters'!$D$3,'2. Input Data On-Premise '!F61,'2. Input Data On-Premise '!F61/(1+$K$4))</f>
        <v>0</v>
      </c>
      <c r="K61" s="223">
        <f>IF($K$5='1.Initial Parameters'!$D$3,'2. Input Data On-Premise '!F61,'2. Input Data On-Premise '!F61*(1+$K$4))</f>
        <v>0</v>
      </c>
      <c r="L61" s="224">
        <f>IF($L$166=$J$166,J61,K61)</f>
        <v>0</v>
      </c>
      <c r="N61" s="210" t="s">
        <v>30</v>
      </c>
    </row>
    <row r="62" spans="1:18" s="526" customFormat="1" ht="15" thickTop="1" x14ac:dyDescent="0.3">
      <c r="A62" s="521"/>
      <c r="B62" s="515"/>
      <c r="C62" s="522"/>
      <c r="D62" s="522"/>
      <c r="E62" s="522"/>
      <c r="F62" s="523"/>
      <c r="G62" s="524"/>
      <c r="H62" s="236"/>
      <c r="I62" s="237"/>
      <c r="J62" s="238"/>
      <c r="K62" s="238"/>
      <c r="L62" s="221"/>
      <c r="M62" s="239"/>
      <c r="N62" s="210" t="s">
        <v>30</v>
      </c>
      <c r="O62" s="239"/>
      <c r="P62" s="239"/>
      <c r="Q62" s="239"/>
      <c r="R62" s="525"/>
    </row>
    <row r="63" spans="1:18" x14ac:dyDescent="0.3">
      <c r="B63" s="474" t="s">
        <v>341</v>
      </c>
      <c r="C63" s="474" t="s">
        <v>260</v>
      </c>
      <c r="D63" s="111"/>
      <c r="E63" s="474"/>
      <c r="F63" s="135" t="s">
        <v>291</v>
      </c>
      <c r="G63" s="476" t="s">
        <v>251</v>
      </c>
      <c r="H63" s="13"/>
      <c r="I63" s="234"/>
      <c r="J63" s="234"/>
      <c r="K63" s="233"/>
      <c r="N63" s="210" t="s">
        <v>30</v>
      </c>
    </row>
    <row r="64" spans="1:18" x14ac:dyDescent="0.3">
      <c r="B64" s="464" t="s">
        <v>342</v>
      </c>
      <c r="C64" s="456" t="s">
        <v>60</v>
      </c>
      <c r="D64" s="456"/>
      <c r="E64" s="456"/>
      <c r="F64" s="527">
        <v>0</v>
      </c>
      <c r="G64" s="466"/>
      <c r="H64" s="13"/>
      <c r="I64" s="234"/>
      <c r="J64" s="233"/>
      <c r="K64" s="233"/>
      <c r="N64" s="210" t="s">
        <v>30</v>
      </c>
    </row>
    <row r="65" spans="2:14" ht="21.6" customHeight="1" thickBot="1" x14ac:dyDescent="0.35">
      <c r="B65" s="477" t="s">
        <v>343</v>
      </c>
      <c r="C65" s="471" t="str">
        <f>'1.Initial Parameters'!D39</f>
        <v>% /year</v>
      </c>
      <c r="D65" s="471"/>
      <c r="E65" s="471"/>
      <c r="F65" s="528">
        <v>0.1</v>
      </c>
      <c r="G65" s="529"/>
      <c r="H65" s="13"/>
      <c r="I65" s="240" t="s">
        <v>228</v>
      </c>
      <c r="J65" s="233"/>
      <c r="K65" s="233"/>
      <c r="N65" s="210" t="s">
        <v>30</v>
      </c>
    </row>
    <row r="66" spans="2:14" ht="15" thickTop="1" x14ac:dyDescent="0.3">
      <c r="B66" s="450"/>
      <c r="C66" s="450"/>
      <c r="D66" s="450"/>
      <c r="E66" s="450"/>
      <c r="F66" s="450"/>
      <c r="G66" s="451"/>
      <c r="H66" s="52"/>
      <c r="I66" s="234"/>
      <c r="N66" s="210" t="s">
        <v>30</v>
      </c>
    </row>
    <row r="67" spans="2:14" ht="24.75" customHeight="1" x14ac:dyDescent="0.3">
      <c r="B67" s="474" t="s">
        <v>61</v>
      </c>
      <c r="C67" s="474" t="s">
        <v>260</v>
      </c>
      <c r="D67" s="475" t="s">
        <v>352</v>
      </c>
      <c r="E67" s="474"/>
      <c r="F67" s="135" t="s">
        <v>291</v>
      </c>
      <c r="G67" s="476" t="s">
        <v>251</v>
      </c>
      <c r="H67" s="52"/>
      <c r="J67" s="211" t="s">
        <v>16</v>
      </c>
      <c r="K67" s="212" t="s">
        <v>17</v>
      </c>
      <c r="L67" s="213" t="str">
        <f>'4.TCO Calculation &amp; Comparsion'!$J$3</f>
        <v>VAT included</v>
      </c>
      <c r="N67" s="210" t="s">
        <v>30</v>
      </c>
    </row>
    <row r="68" spans="2:14" x14ac:dyDescent="0.3">
      <c r="B68" s="515" t="s">
        <v>344</v>
      </c>
      <c r="C68" s="516" t="str">
        <f>JenotkaMěny</f>
        <v>EURO</v>
      </c>
      <c r="D68" s="289" t="str">
        <f>'1.Initial Parameters'!$D$11</f>
        <v>YES</v>
      </c>
      <c r="E68" s="516"/>
      <c r="F68" s="48">
        <v>0</v>
      </c>
      <c r="G68" s="518"/>
      <c r="H68" s="241"/>
      <c r="I68" s="242" t="s">
        <v>57</v>
      </c>
      <c r="J68" s="214">
        <f>IF($J$5='1.Initial Parameters'!$D$3,'2. Input Data On-Premise '!F68,'2. Input Data On-Premise '!F68/(1+$K$4))</f>
        <v>0</v>
      </c>
      <c r="K68" s="215">
        <f>IF($K$5='1.Initial Parameters'!$D$3,'2. Input Data On-Premise '!F68,'2. Input Data On-Premise '!F68*(1+$K$4))</f>
        <v>0</v>
      </c>
      <c r="L68" s="216">
        <f>IF($L$166=$J$166,J68,K68)</f>
        <v>0</v>
      </c>
      <c r="N68" s="210" t="s">
        <v>30</v>
      </c>
    </row>
    <row r="69" spans="2:14" ht="19.95" customHeight="1" thickBot="1" x14ac:dyDescent="0.35">
      <c r="B69" s="515" t="s">
        <v>345</v>
      </c>
      <c r="C69" s="516" t="str">
        <f>'1.Initial Parameters'!$D$25</f>
        <v>EURO/year</v>
      </c>
      <c r="D69" s="516"/>
      <c r="E69" s="516"/>
      <c r="F69" s="660">
        <f>F68/DelkaProjektu</f>
        <v>0</v>
      </c>
      <c r="G69" s="518"/>
      <c r="H69" s="241"/>
      <c r="I69" s="243" t="s">
        <v>229</v>
      </c>
      <c r="J69" s="217">
        <f>IF($J$5='1.Initial Parameters'!$D$3,'2. Input Data On-Premise '!F69,'2. Input Data On-Premise '!F69/(1+$K$4))</f>
        <v>0</v>
      </c>
      <c r="K69" s="218">
        <f>IF($K$5='1.Initial Parameters'!$D$3,'2. Input Data On-Premise '!F69,'2. Input Data On-Premise '!F69*(1+$K$4))</f>
        <v>0</v>
      </c>
      <c r="L69" s="219">
        <f>IF($L$166=$J$166,J69,K69)</f>
        <v>0</v>
      </c>
      <c r="N69" s="210" t="s">
        <v>30</v>
      </c>
    </row>
    <row r="70" spans="2:14" ht="15" thickTop="1" x14ac:dyDescent="0.3">
      <c r="B70" s="464" t="s">
        <v>346</v>
      </c>
      <c r="C70" s="457" t="str">
        <f>'1.Initial Parameters'!$D$40</f>
        <v>item</v>
      </c>
      <c r="D70" s="457"/>
      <c r="E70" s="457"/>
      <c r="F70" s="530">
        <v>0</v>
      </c>
      <c r="G70" s="451"/>
      <c r="H70" s="244"/>
      <c r="I70" s="221" t="s">
        <v>62</v>
      </c>
      <c r="N70" s="210" t="s">
        <v>30</v>
      </c>
    </row>
    <row r="71" spans="2:14" x14ac:dyDescent="0.3">
      <c r="B71" s="464" t="s">
        <v>347</v>
      </c>
      <c r="C71" s="516" t="str">
        <f>'1.Initial Parameters'!$D$38</f>
        <v>Unit</v>
      </c>
      <c r="D71" s="457"/>
      <c r="E71" s="457"/>
      <c r="F71" s="530">
        <v>0</v>
      </c>
      <c r="G71" s="451"/>
      <c r="H71" s="52"/>
      <c r="I71" s="221" t="s">
        <v>62</v>
      </c>
      <c r="N71" s="210" t="s">
        <v>30</v>
      </c>
    </row>
    <row r="72" spans="2:14" x14ac:dyDescent="0.3">
      <c r="B72" s="464" t="s">
        <v>348</v>
      </c>
      <c r="C72" s="457" t="s">
        <v>60</v>
      </c>
      <c r="D72" s="457"/>
      <c r="E72" s="457"/>
      <c r="F72" s="531">
        <v>0</v>
      </c>
      <c r="G72" s="451"/>
      <c r="H72" s="52"/>
      <c r="I72" s="221" t="s">
        <v>63</v>
      </c>
      <c r="N72" s="210" t="s">
        <v>30</v>
      </c>
    </row>
    <row r="73" spans="2:14" x14ac:dyDescent="0.3">
      <c r="B73" s="123" t="s">
        <v>349</v>
      </c>
      <c r="C73" s="507" t="s">
        <v>64</v>
      </c>
      <c r="D73" s="507"/>
      <c r="E73" s="507"/>
      <c r="F73" s="532">
        <v>0</v>
      </c>
      <c r="G73" s="503"/>
      <c r="H73" s="52"/>
      <c r="I73" s="221" t="s">
        <v>63</v>
      </c>
      <c r="N73" s="210" t="s">
        <v>30</v>
      </c>
    </row>
    <row r="74" spans="2:14" x14ac:dyDescent="0.3">
      <c r="B74" s="515" t="s">
        <v>350</v>
      </c>
      <c r="C74" s="516" t="str">
        <f>JenotkaMěny</f>
        <v>EURO</v>
      </c>
      <c r="D74" s="289" t="str">
        <f>'1.Initial Parameters'!$D$11</f>
        <v>YES</v>
      </c>
      <c r="E74" s="516"/>
      <c r="F74" s="48">
        <v>0</v>
      </c>
      <c r="G74" s="503"/>
      <c r="H74" s="241"/>
      <c r="I74" s="242" t="s">
        <v>57</v>
      </c>
      <c r="J74" s="214">
        <f>IF($J$5='1.Initial Parameters'!$D$3,'2. Input Data On-Premise '!F74,'2. Input Data On-Premise '!F74/(1+$K$4))</f>
        <v>0</v>
      </c>
      <c r="K74" s="215">
        <f>IF($K$5='1.Initial Parameters'!$D$3,'2. Input Data On-Premise '!F74,'2. Input Data On-Premise '!F74*(1+$K$4))</f>
        <v>0</v>
      </c>
      <c r="L74" s="216">
        <f>IF($L$166=$J$166,J74,K74)</f>
        <v>0</v>
      </c>
      <c r="N74" s="210" t="s">
        <v>30</v>
      </c>
    </row>
    <row r="75" spans="2:14" ht="15" thickBot="1" x14ac:dyDescent="0.35">
      <c r="B75" s="127" t="s">
        <v>351</v>
      </c>
      <c r="C75" s="520" t="str">
        <f>'1.Initial Parameters'!$D$25</f>
        <v>EURO/year</v>
      </c>
      <c r="D75" s="533"/>
      <c r="E75" s="533"/>
      <c r="F75" s="661">
        <f>F74/F57</f>
        <v>0</v>
      </c>
      <c r="G75" s="505"/>
      <c r="H75" s="52"/>
      <c r="I75" s="234"/>
      <c r="J75" s="217">
        <f>IF($J$5='1.Initial Parameters'!$D$3,'2. Input Data On-Premise '!F75,'2. Input Data On-Premise '!F75/(1+$K$4))</f>
        <v>0</v>
      </c>
      <c r="K75" s="218">
        <f>IF($K$5='1.Initial Parameters'!$D$3,'2. Input Data On-Premise '!F75,'2. Input Data On-Premise '!F75*(1+$K$4))</f>
        <v>0</v>
      </c>
      <c r="L75" s="219">
        <f>IF($L$166=$J$166,J75,K75)</f>
        <v>0</v>
      </c>
      <c r="N75" s="210" t="s">
        <v>30</v>
      </c>
    </row>
    <row r="76" spans="2:14" ht="15" thickTop="1" x14ac:dyDescent="0.3">
      <c r="B76" s="450"/>
      <c r="C76" s="507"/>
      <c r="D76" s="507"/>
      <c r="E76" s="507"/>
      <c r="F76" s="534"/>
      <c r="G76" s="503"/>
      <c r="H76" s="52"/>
      <c r="N76" s="210" t="s">
        <v>30</v>
      </c>
    </row>
    <row r="77" spans="2:14" ht="26.25" customHeight="1" x14ac:dyDescent="0.3">
      <c r="B77" s="474" t="s">
        <v>353</v>
      </c>
      <c r="C77" s="474" t="s">
        <v>260</v>
      </c>
      <c r="D77" s="475" t="s">
        <v>352</v>
      </c>
      <c r="E77" s="474"/>
      <c r="F77" s="135" t="s">
        <v>291</v>
      </c>
      <c r="G77" s="476" t="s">
        <v>251</v>
      </c>
      <c r="H77" s="52"/>
      <c r="J77" s="211" t="s">
        <v>16</v>
      </c>
      <c r="K77" s="212" t="s">
        <v>17</v>
      </c>
      <c r="L77" s="213" t="str">
        <f>'4.TCO Calculation &amp; Comparsion'!$J$3</f>
        <v>VAT included</v>
      </c>
      <c r="N77" s="210" t="s">
        <v>30</v>
      </c>
    </row>
    <row r="78" spans="2:14" x14ac:dyDescent="0.3">
      <c r="B78" s="123" t="s">
        <v>65</v>
      </c>
      <c r="C78" s="516" t="str">
        <f>JenotkaMěny</f>
        <v>EURO</v>
      </c>
      <c r="D78" s="720" t="str">
        <f>'1.Initial Parameters'!$D$11</f>
        <v>YES</v>
      </c>
      <c r="E78" s="507"/>
      <c r="F78" s="535">
        <v>0</v>
      </c>
      <c r="G78" s="503"/>
      <c r="H78" s="52"/>
      <c r="I78" s="220" t="s">
        <v>66</v>
      </c>
      <c r="J78" s="214">
        <f>IF($J$5='1.Initial Parameters'!$D$3,'2. Input Data On-Premise '!F78,'2. Input Data On-Premise '!F78/(1+$K$4))</f>
        <v>0</v>
      </c>
      <c r="K78" s="215">
        <f>IF($K$5='1.Initial Parameters'!$D$3,'2. Input Data On-Premise '!F78,'2. Input Data On-Premise '!F78*(1+$K$4))</f>
        <v>0</v>
      </c>
      <c r="L78" s="216">
        <f t="shared" ref="L78:L83" si="4">IF($L$166=$J$166,J78,K78)</f>
        <v>0</v>
      </c>
      <c r="N78" s="210" t="s">
        <v>30</v>
      </c>
    </row>
    <row r="79" spans="2:14" x14ac:dyDescent="0.3">
      <c r="B79" s="123" t="s">
        <v>67</v>
      </c>
      <c r="C79" s="516" t="str">
        <f>JenotkaMěny</f>
        <v>EURO</v>
      </c>
      <c r="D79" s="720"/>
      <c r="E79" s="507"/>
      <c r="F79" s="535">
        <v>0</v>
      </c>
      <c r="G79" s="503"/>
      <c r="H79" s="52"/>
      <c r="I79" s="245" t="s">
        <v>66</v>
      </c>
      <c r="J79" s="214">
        <f>IF($J$5='1.Initial Parameters'!$D$3,'2. Input Data On-Premise '!F79,'2. Input Data On-Premise '!F79/(1+$K$4))</f>
        <v>0</v>
      </c>
      <c r="K79" s="215">
        <f>IF($K$5='1.Initial Parameters'!$D$3,'2. Input Data On-Premise '!F79,'2. Input Data On-Premise '!F79*(1+$K$4))</f>
        <v>0</v>
      </c>
      <c r="L79" s="216">
        <f t="shared" si="4"/>
        <v>0</v>
      </c>
      <c r="N79" s="210" t="s">
        <v>30</v>
      </c>
    </row>
    <row r="80" spans="2:14" x14ac:dyDescent="0.3">
      <c r="B80" s="123" t="s">
        <v>68</v>
      </c>
      <c r="C80" s="516" t="str">
        <f>JenotkaMěny</f>
        <v>EURO</v>
      </c>
      <c r="D80" s="720"/>
      <c r="E80" s="507"/>
      <c r="F80" s="535">
        <v>0</v>
      </c>
      <c r="G80" s="503"/>
      <c r="H80" s="52"/>
      <c r="I80" s="245" t="s">
        <v>66</v>
      </c>
      <c r="J80" s="214">
        <f>IF($J$5='1.Initial Parameters'!$D$3,'2. Input Data On-Premise '!F80,'2. Input Data On-Premise '!F80/(1+$K$4))</f>
        <v>0</v>
      </c>
      <c r="K80" s="215">
        <f>IF($K$5='1.Initial Parameters'!$D$3,'2. Input Data On-Premise '!F80,'2. Input Data On-Premise '!F80*(1+$K$4))</f>
        <v>0</v>
      </c>
      <c r="L80" s="216">
        <f t="shared" si="4"/>
        <v>0</v>
      </c>
      <c r="N80" s="210" t="s">
        <v>30</v>
      </c>
    </row>
    <row r="81" spans="2:14" x14ac:dyDescent="0.3">
      <c r="B81" s="123" t="s">
        <v>354</v>
      </c>
      <c r="C81" s="516" t="str">
        <f>JenotkaMěny</f>
        <v>EURO</v>
      </c>
      <c r="D81" s="720"/>
      <c r="E81" s="507"/>
      <c r="F81" s="535">
        <v>0</v>
      </c>
      <c r="G81" s="503"/>
      <c r="H81" s="52"/>
      <c r="I81" s="245" t="s">
        <v>66</v>
      </c>
      <c r="J81" s="214">
        <f>IF($J$5='1.Initial Parameters'!$D$3,'2. Input Data On-Premise '!F81,'2. Input Data On-Premise '!F81/(1+$K$4))</f>
        <v>0</v>
      </c>
      <c r="K81" s="215">
        <f>IF($K$5='1.Initial Parameters'!$D$3,'2. Input Data On-Premise '!F81,'2. Input Data On-Premise '!F81*(1+$K$4))</f>
        <v>0</v>
      </c>
      <c r="L81" s="216">
        <f t="shared" si="4"/>
        <v>0</v>
      </c>
      <c r="N81" s="210" t="s">
        <v>30</v>
      </c>
    </row>
    <row r="82" spans="2:14" x14ac:dyDescent="0.3">
      <c r="B82" s="123" t="s">
        <v>355</v>
      </c>
      <c r="C82" s="482" t="str">
        <f>'1.Initial Parameters'!$D$25</f>
        <v>EURO/year</v>
      </c>
      <c r="D82" s="507"/>
      <c r="E82" s="507"/>
      <c r="F82" s="535">
        <v>0</v>
      </c>
      <c r="G82" s="536"/>
      <c r="H82" s="52"/>
      <c r="I82" s="220" t="s">
        <v>69</v>
      </c>
      <c r="J82" s="214">
        <f>IF($J$5='1.Initial Parameters'!$D$3,'2. Input Data On-Premise '!F82,'2. Input Data On-Premise '!F82/(1+$K$4))</f>
        <v>0</v>
      </c>
      <c r="K82" s="215">
        <f>IF($K$5='1.Initial Parameters'!$D$3,'2. Input Data On-Premise '!F82,'2. Input Data On-Premise '!F82*(1+$K$4))</f>
        <v>0</v>
      </c>
      <c r="L82" s="216">
        <f t="shared" si="4"/>
        <v>0</v>
      </c>
      <c r="N82" s="210" t="s">
        <v>30</v>
      </c>
    </row>
    <row r="83" spans="2:14" ht="15" thickBot="1" x14ac:dyDescent="0.35">
      <c r="B83" s="127" t="s">
        <v>356</v>
      </c>
      <c r="C83" s="520" t="str">
        <f>'1.Initial Parameters'!$D$25</f>
        <v>EURO/year</v>
      </c>
      <c r="D83" s="533"/>
      <c r="E83" s="533"/>
      <c r="F83" s="537">
        <v>0</v>
      </c>
      <c r="G83" s="538"/>
      <c r="H83" s="52"/>
      <c r="I83" s="220" t="s">
        <v>70</v>
      </c>
      <c r="J83" s="217">
        <f>IF($J$5='1.Initial Parameters'!$D$3,'2. Input Data On-Premise '!F83,'2. Input Data On-Premise '!F83/(1+$K$4))</f>
        <v>0</v>
      </c>
      <c r="K83" s="218">
        <f>IF($K$5='1.Initial Parameters'!$D$3,'2. Input Data On-Premise '!F83,'2. Input Data On-Premise '!F83*(1+$K$4))</f>
        <v>0</v>
      </c>
      <c r="L83" s="219">
        <f t="shared" si="4"/>
        <v>0</v>
      </c>
      <c r="N83" s="210" t="s">
        <v>30</v>
      </c>
    </row>
    <row r="84" spans="2:14" ht="15" thickTop="1" x14ac:dyDescent="0.3">
      <c r="B84" s="450"/>
      <c r="C84" s="507"/>
      <c r="D84" s="507"/>
      <c r="E84" s="507"/>
      <c r="F84" s="534"/>
      <c r="G84" s="503"/>
      <c r="H84" s="52"/>
      <c r="N84" s="210" t="s">
        <v>30</v>
      </c>
    </row>
    <row r="85" spans="2:14" ht="42.6" customHeight="1" x14ac:dyDescent="0.3">
      <c r="B85" s="474" t="s">
        <v>357</v>
      </c>
      <c r="C85" s="474" t="s">
        <v>260</v>
      </c>
      <c r="D85" s="111" t="s">
        <v>323</v>
      </c>
      <c r="E85" s="474"/>
      <c r="F85" s="135" t="s">
        <v>291</v>
      </c>
      <c r="G85" s="476" t="s">
        <v>251</v>
      </c>
      <c r="H85" s="52"/>
      <c r="J85" s="211" t="s">
        <v>16</v>
      </c>
      <c r="K85" s="212" t="s">
        <v>17</v>
      </c>
      <c r="L85" s="213" t="str">
        <f>'4.TCO Calculation &amp; Comparsion'!$J$3</f>
        <v>VAT included</v>
      </c>
      <c r="N85" s="210" t="s">
        <v>30</v>
      </c>
    </row>
    <row r="86" spans="2:14" x14ac:dyDescent="0.3">
      <c r="B86" s="123" t="s">
        <v>71</v>
      </c>
      <c r="C86" s="516" t="str">
        <f>JenotkaMěny</f>
        <v>EURO</v>
      </c>
      <c r="D86" s="720" t="str">
        <f>'1.Initial Parameters'!$D$11</f>
        <v>YES</v>
      </c>
      <c r="E86" s="507"/>
      <c r="F86" s="535">
        <v>0</v>
      </c>
      <c r="G86" s="503"/>
      <c r="H86" s="52"/>
      <c r="I86" s="220" t="s">
        <v>72</v>
      </c>
      <c r="J86" s="214">
        <f>IF($J$5='1.Initial Parameters'!$D$3,'2. Input Data On-Premise '!F86,'2. Input Data On-Premise '!F86/(1+$K$4))</f>
        <v>0</v>
      </c>
      <c r="K86" s="215">
        <f>IF($K$5='1.Initial Parameters'!$D$3,'2. Input Data On-Premise '!F86,'2. Input Data On-Premise '!F86*(1+$K$4))</f>
        <v>0</v>
      </c>
      <c r="L86" s="216">
        <f t="shared" ref="L86:L96" si="5">IF($L$166=$J$166,J86,K86)</f>
        <v>0</v>
      </c>
      <c r="N86" s="210" t="s">
        <v>30</v>
      </c>
    </row>
    <row r="87" spans="2:14" x14ac:dyDescent="0.3">
      <c r="B87" s="123" t="s">
        <v>358</v>
      </c>
      <c r="C87" s="516" t="str">
        <f>JenotkaMěny</f>
        <v>EURO</v>
      </c>
      <c r="D87" s="720"/>
      <c r="E87" s="507"/>
      <c r="F87" s="535">
        <v>0</v>
      </c>
      <c r="G87" s="539" t="s">
        <v>368</v>
      </c>
      <c r="H87" s="52"/>
      <c r="I87" s="220" t="s">
        <v>72</v>
      </c>
      <c r="J87" s="214">
        <f>IF($J$5='1.Initial Parameters'!$D$3,'2. Input Data On-Premise '!F87,'2. Input Data On-Premise '!F87/(1+$K$4))</f>
        <v>0</v>
      </c>
      <c r="K87" s="215">
        <f>IF($K$5='1.Initial Parameters'!$D$3,'2. Input Data On-Premise '!F87,'2. Input Data On-Premise '!F87*(1+$K$4))</f>
        <v>0</v>
      </c>
      <c r="L87" s="216">
        <f t="shared" si="5"/>
        <v>0</v>
      </c>
      <c r="N87" s="210" t="s">
        <v>30</v>
      </c>
    </row>
    <row r="88" spans="2:14" x14ac:dyDescent="0.3">
      <c r="B88" s="123" t="s">
        <v>359</v>
      </c>
      <c r="C88" s="516" t="str">
        <f>JenotkaMěny</f>
        <v>EURO</v>
      </c>
      <c r="D88" s="720"/>
      <c r="E88" s="507"/>
      <c r="F88" s="535">
        <v>0</v>
      </c>
      <c r="G88" s="539" t="s">
        <v>369</v>
      </c>
      <c r="H88" s="52"/>
      <c r="I88" s="220" t="s">
        <v>73</v>
      </c>
      <c r="J88" s="214">
        <f>IF($J$5='1.Initial Parameters'!$D$3,'2. Input Data On-Premise '!F88,'2. Input Data On-Premise '!F88/(1+$K$4))</f>
        <v>0</v>
      </c>
      <c r="K88" s="215">
        <f>IF($K$5='1.Initial Parameters'!$D$3,'2. Input Data On-Premise '!F88,'2. Input Data On-Premise '!F88*(1+$K$4))</f>
        <v>0</v>
      </c>
      <c r="L88" s="216">
        <f t="shared" si="5"/>
        <v>0</v>
      </c>
      <c r="N88" s="210" t="s">
        <v>30</v>
      </c>
    </row>
    <row r="89" spans="2:14" x14ac:dyDescent="0.3">
      <c r="B89" s="123" t="s">
        <v>360</v>
      </c>
      <c r="C89" s="516" t="str">
        <f>JenotkaMěny</f>
        <v>EURO</v>
      </c>
      <c r="D89" s="720"/>
      <c r="E89" s="507"/>
      <c r="F89" s="535">
        <v>0</v>
      </c>
      <c r="G89" s="539" t="s">
        <v>370</v>
      </c>
      <c r="H89" s="52"/>
      <c r="I89" s="220" t="s">
        <v>72</v>
      </c>
      <c r="J89" s="214">
        <f>IF($J$5='1.Initial Parameters'!$D$3,'2. Input Data On-Premise '!F89,'2. Input Data On-Premise '!F89/(1+$K$4))</f>
        <v>0</v>
      </c>
      <c r="K89" s="215">
        <f>IF($K$5='1.Initial Parameters'!$D$3,'2. Input Data On-Premise '!F89,'2. Input Data On-Premise '!F89*(1+$K$4))</f>
        <v>0</v>
      </c>
      <c r="L89" s="216">
        <f t="shared" si="5"/>
        <v>0</v>
      </c>
      <c r="N89" s="210" t="s">
        <v>30</v>
      </c>
    </row>
    <row r="90" spans="2:14" x14ac:dyDescent="0.3">
      <c r="B90" s="123" t="s">
        <v>361</v>
      </c>
      <c r="C90" s="516" t="str">
        <f>JenotkaMěny</f>
        <v>EURO</v>
      </c>
      <c r="D90" s="720"/>
      <c r="E90" s="507"/>
      <c r="F90" s="535">
        <v>0</v>
      </c>
      <c r="G90" s="539" t="s">
        <v>371</v>
      </c>
      <c r="H90" s="52"/>
      <c r="I90" s="220" t="s">
        <v>73</v>
      </c>
      <c r="J90" s="214">
        <f>IF($J$5='1.Initial Parameters'!$D$3,'2. Input Data On-Premise '!F90,'2. Input Data On-Premise '!F90/(1+$K$4))</f>
        <v>0</v>
      </c>
      <c r="K90" s="215">
        <f>IF($K$5='1.Initial Parameters'!$D$3,'2. Input Data On-Premise '!F90,'2. Input Data On-Premise '!F90*(1+$K$4))</f>
        <v>0</v>
      </c>
      <c r="L90" s="216">
        <f t="shared" si="5"/>
        <v>0</v>
      </c>
      <c r="N90" s="210" t="s">
        <v>30</v>
      </c>
    </row>
    <row r="91" spans="2:14" x14ac:dyDescent="0.3">
      <c r="B91" s="123" t="s">
        <v>362</v>
      </c>
      <c r="C91" s="482" t="str">
        <f>'1.Initial Parameters'!$D$25</f>
        <v>EURO/year</v>
      </c>
      <c r="D91" s="507"/>
      <c r="E91" s="507"/>
      <c r="F91" s="535">
        <v>0</v>
      </c>
      <c r="G91" s="503"/>
      <c r="H91" s="52"/>
      <c r="I91" s="220" t="s">
        <v>74</v>
      </c>
      <c r="J91" s="214">
        <f>IF($J$5='1.Initial Parameters'!$D$3,'2. Input Data On-Premise '!F91,'2. Input Data On-Premise '!F91/(1+$K$4))</f>
        <v>0</v>
      </c>
      <c r="K91" s="215">
        <f>IF($K$5='1.Initial Parameters'!$D$3,'2. Input Data On-Premise '!F91,'2. Input Data On-Premise '!F91*(1+$K$4))</f>
        <v>0</v>
      </c>
      <c r="L91" s="216">
        <f t="shared" si="5"/>
        <v>0</v>
      </c>
      <c r="N91" s="210" t="s">
        <v>30</v>
      </c>
    </row>
    <row r="92" spans="2:14" x14ac:dyDescent="0.3">
      <c r="B92" s="123" t="s">
        <v>363</v>
      </c>
      <c r="C92" s="482" t="str">
        <f>'1.Initial Parameters'!$D$25</f>
        <v>EURO/year</v>
      </c>
      <c r="D92" s="507"/>
      <c r="E92" s="507"/>
      <c r="F92" s="535">
        <v>0</v>
      </c>
      <c r="G92" s="503"/>
      <c r="H92" s="52"/>
      <c r="I92" s="220" t="s">
        <v>74</v>
      </c>
      <c r="J92" s="214">
        <f>IF($J$5='1.Initial Parameters'!$D$3,'2. Input Data On-Premise '!F92,'2. Input Data On-Premise '!F92/(1+$K$4))</f>
        <v>0</v>
      </c>
      <c r="K92" s="215">
        <f>IF($K$5='1.Initial Parameters'!$D$3,'2. Input Data On-Premise '!F92,'2. Input Data On-Premise '!F92*(1+$K$4))</f>
        <v>0</v>
      </c>
      <c r="L92" s="216">
        <f t="shared" si="5"/>
        <v>0</v>
      </c>
      <c r="N92" s="210" t="s">
        <v>30</v>
      </c>
    </row>
    <row r="93" spans="2:14" x14ac:dyDescent="0.3">
      <c r="B93" s="123" t="s">
        <v>364</v>
      </c>
      <c r="C93" s="482" t="str">
        <f>'1.Initial Parameters'!$D$25</f>
        <v>EURO/year</v>
      </c>
      <c r="D93" s="507"/>
      <c r="E93" s="507"/>
      <c r="F93" s="535">
        <v>0</v>
      </c>
      <c r="G93" s="503"/>
      <c r="H93" s="52"/>
      <c r="I93" s="245" t="s">
        <v>74</v>
      </c>
      <c r="J93" s="214">
        <f>IF($J$5='1.Initial Parameters'!$D$3,'2. Input Data On-Premise '!F93,'2. Input Data On-Premise '!F93/(1+$K$4))</f>
        <v>0</v>
      </c>
      <c r="K93" s="215">
        <f>IF($K$5='1.Initial Parameters'!$D$3,'2. Input Data On-Premise '!F93,'2. Input Data On-Premise '!F93*(1+$K$4))</f>
        <v>0</v>
      </c>
      <c r="L93" s="216">
        <f t="shared" si="5"/>
        <v>0</v>
      </c>
      <c r="N93" s="210" t="s">
        <v>30</v>
      </c>
    </row>
    <row r="94" spans="2:14" x14ac:dyDescent="0.3">
      <c r="B94" s="123" t="s">
        <v>365</v>
      </c>
      <c r="C94" s="482" t="str">
        <f>'1.Initial Parameters'!$D$25</f>
        <v>EURO/year</v>
      </c>
      <c r="D94" s="507"/>
      <c r="E94" s="507"/>
      <c r="F94" s="535">
        <v>0</v>
      </c>
      <c r="G94" s="503"/>
      <c r="H94" s="52"/>
      <c r="I94" s="220" t="s">
        <v>69</v>
      </c>
      <c r="J94" s="214">
        <f>IF($J$5='1.Initial Parameters'!$D$3,'2. Input Data On-Premise '!F94,'2. Input Data On-Premise '!F94/(1+$K$4))</f>
        <v>0</v>
      </c>
      <c r="K94" s="215">
        <f>IF($K$5='1.Initial Parameters'!$D$3,'2. Input Data On-Premise '!F94,'2. Input Data On-Premise '!F94*(1+$K$4))</f>
        <v>0</v>
      </c>
      <c r="L94" s="216">
        <f t="shared" si="5"/>
        <v>0</v>
      </c>
      <c r="N94" s="210" t="s">
        <v>30</v>
      </c>
    </row>
    <row r="95" spans="2:14" ht="27.6" x14ac:dyDescent="0.3">
      <c r="B95" s="509" t="s">
        <v>366</v>
      </c>
      <c r="C95" s="519" t="str">
        <f>'1.Initial Parameters'!$D$27</f>
        <v>Hour/year</v>
      </c>
      <c r="D95" s="483">
        <v>2</v>
      </c>
      <c r="E95" s="484">
        <f>VLOOKUP(D95,'1.Initial Parameters'!$D$44:$E$46,2,FALSE)</f>
        <v>657</v>
      </c>
      <c r="F95" s="485">
        <v>0</v>
      </c>
      <c r="G95" s="540"/>
      <c r="H95" s="52"/>
      <c r="I95" s="220" t="s">
        <v>75</v>
      </c>
      <c r="J95" s="230">
        <f>E95*F95</f>
        <v>0</v>
      </c>
      <c r="K95" s="231">
        <f>E95*F95</f>
        <v>0</v>
      </c>
      <c r="L95" s="232">
        <f t="shared" si="5"/>
        <v>0</v>
      </c>
      <c r="N95" s="210" t="s">
        <v>44</v>
      </c>
    </row>
    <row r="96" spans="2:14" ht="28.2" thickBot="1" x14ac:dyDescent="0.35">
      <c r="B96" s="510" t="s">
        <v>367</v>
      </c>
      <c r="C96" s="520" t="str">
        <f>'1.Initial Parameters'!$D$25</f>
        <v>EURO/year</v>
      </c>
      <c r="D96" s="541"/>
      <c r="E96" s="489"/>
      <c r="F96" s="490">
        <v>0</v>
      </c>
      <c r="G96" s="529"/>
      <c r="H96" s="52"/>
      <c r="I96" s="220" t="s">
        <v>75</v>
      </c>
      <c r="J96" s="225">
        <f>IF($J$5='1.Initial Parameters'!$D$3,'2. Input Data On-Premise '!F96,'2. Input Data On-Premise '!F96/(1+$K$4))</f>
        <v>0</v>
      </c>
      <c r="K96" s="226">
        <f>IF($K$5='1.Initial Parameters'!$D$3,'2. Input Data On-Premise '!F96,'2. Input Data On-Premise '!F96*(1+$K$4))</f>
        <v>0</v>
      </c>
      <c r="L96" s="227">
        <f t="shared" si="5"/>
        <v>0</v>
      </c>
      <c r="N96" s="210" t="s">
        <v>30</v>
      </c>
    </row>
    <row r="97" spans="2:14" ht="15" thickTop="1" x14ac:dyDescent="0.3">
      <c r="B97" s="450"/>
      <c r="C97" s="450"/>
      <c r="D97" s="450"/>
      <c r="E97" s="450"/>
      <c r="F97" s="450"/>
      <c r="G97" s="451"/>
      <c r="H97" s="52"/>
      <c r="N97" s="210" t="s">
        <v>30</v>
      </c>
    </row>
    <row r="98" spans="2:14" ht="24" customHeight="1" x14ac:dyDescent="0.3">
      <c r="B98" s="474" t="s">
        <v>809</v>
      </c>
      <c r="C98" s="474" t="s">
        <v>260</v>
      </c>
      <c r="D98" s="475" t="s">
        <v>352</v>
      </c>
      <c r="E98" s="474"/>
      <c r="F98" s="135" t="s">
        <v>291</v>
      </c>
      <c r="G98" s="476" t="s">
        <v>251</v>
      </c>
      <c r="H98" s="52"/>
      <c r="J98" s="211" t="s">
        <v>16</v>
      </c>
      <c r="K98" s="212" t="s">
        <v>17</v>
      </c>
      <c r="L98" s="213" t="str">
        <f>'4.TCO Calculation &amp; Comparsion'!$J$3</f>
        <v>VAT included</v>
      </c>
      <c r="N98" s="210" t="s">
        <v>30</v>
      </c>
    </row>
    <row r="99" spans="2:14" x14ac:dyDescent="0.3">
      <c r="B99" s="123" t="s">
        <v>810</v>
      </c>
      <c r="C99" s="516" t="str">
        <f>JenotkaMěny</f>
        <v>EURO</v>
      </c>
      <c r="D99" s="288" t="str">
        <f>'1.Initial Parameters'!$D$11</f>
        <v>YES</v>
      </c>
      <c r="E99" s="542"/>
      <c r="F99" s="535">
        <v>0</v>
      </c>
      <c r="G99" s="503" t="s">
        <v>808</v>
      </c>
      <c r="H99" s="52"/>
      <c r="I99" s="220" t="s">
        <v>76</v>
      </c>
      <c r="J99" s="214">
        <f>IF($J$5='1.Initial Parameters'!$D$3,'2. Input Data On-Premise '!F99,'2. Input Data On-Premise '!F99/(1+$K$4))</f>
        <v>0</v>
      </c>
      <c r="K99" s="215">
        <f>IF($K$5='1.Initial Parameters'!$D$3,'2. Input Data On-Premise '!F99,'2. Input Data On-Premise '!F99*(1+$K$4))</f>
        <v>0</v>
      </c>
      <c r="L99" s="216">
        <f>IF($L$166=$J$166,J99,K99)</f>
        <v>0</v>
      </c>
      <c r="N99" s="210" t="s">
        <v>30</v>
      </c>
    </row>
    <row r="100" spans="2:14" x14ac:dyDescent="0.3">
      <c r="B100" s="123" t="s">
        <v>823</v>
      </c>
      <c r="C100" s="543" t="str">
        <f>JenotkaMěny</f>
        <v>EURO</v>
      </c>
      <c r="D100" s="288" t="str">
        <f>'1.Initial Parameters'!$D$11</f>
        <v>YES</v>
      </c>
      <c r="E100" s="542"/>
      <c r="F100" s="535">
        <v>0</v>
      </c>
      <c r="G100" s="503"/>
      <c r="H100" s="52"/>
      <c r="I100" s="220" t="s">
        <v>77</v>
      </c>
      <c r="J100" s="214">
        <f>IF($J$5='1.Initial Parameters'!$D$3,'2. Input Data On-Premise '!F100,'2. Input Data On-Premise '!F100/(1+$K$4))</f>
        <v>0</v>
      </c>
      <c r="K100" s="215">
        <f>IF($K$5='1.Initial Parameters'!$D$3,'2. Input Data On-Premise '!F100,'2. Input Data On-Premise '!F100*(1+$K$4))</f>
        <v>0</v>
      </c>
      <c r="L100" s="216">
        <f>IF($L$166=$J$166,J100,K100)</f>
        <v>0</v>
      </c>
      <c r="N100" s="210" t="s">
        <v>30</v>
      </c>
    </row>
    <row r="101" spans="2:14" ht="15" thickBot="1" x14ac:dyDescent="0.35">
      <c r="B101" s="544" t="s">
        <v>824</v>
      </c>
      <c r="C101" s="520" t="str">
        <f>'1.Initial Parameters'!$D$25</f>
        <v>EURO/year</v>
      </c>
      <c r="D101" s="545"/>
      <c r="E101" s="545"/>
      <c r="F101" s="546">
        <v>0</v>
      </c>
      <c r="G101" s="547" t="s">
        <v>372</v>
      </c>
      <c r="H101" s="52"/>
      <c r="I101" s="220" t="s">
        <v>78</v>
      </c>
      <c r="J101" s="246">
        <f>IF($J$5='1.Initial Parameters'!$D$3,'2. Input Data On-Premise '!F101,'2. Input Data On-Premise '!F101/(1+$K$4))</f>
        <v>0</v>
      </c>
      <c r="K101" s="247">
        <f>IF($K$5='1.Initial Parameters'!$D$3,'2. Input Data On-Premise '!F101,'2. Input Data On-Premise '!F101*(1+$K$4))</f>
        <v>0</v>
      </c>
      <c r="L101" s="248">
        <f>IF($L$166=$J$166,J101,K101)</f>
        <v>0</v>
      </c>
      <c r="N101" s="210" t="s">
        <v>30</v>
      </c>
    </row>
    <row r="102" spans="2:14" ht="15" thickTop="1" x14ac:dyDescent="0.3">
      <c r="B102" s="450"/>
      <c r="C102" s="507"/>
      <c r="D102" s="507"/>
      <c r="E102" s="507"/>
      <c r="F102" s="534"/>
      <c r="G102" s="503"/>
      <c r="H102" s="52"/>
      <c r="N102" s="210" t="s">
        <v>30</v>
      </c>
    </row>
    <row r="103" spans="2:14" ht="15.6" x14ac:dyDescent="0.3">
      <c r="B103" s="454" t="s">
        <v>373</v>
      </c>
      <c r="C103" s="457"/>
      <c r="D103" s="457"/>
      <c r="E103" s="457"/>
      <c r="F103" s="548"/>
      <c r="G103" s="549"/>
      <c r="H103" s="52"/>
      <c r="N103" s="210" t="s">
        <v>30</v>
      </c>
    </row>
    <row r="104" spans="2:14" ht="8.25" customHeight="1" thickBot="1" x14ac:dyDescent="0.35">
      <c r="B104" s="449"/>
      <c r="C104" s="457"/>
      <c r="D104" s="457"/>
      <c r="E104" s="457"/>
      <c r="F104" s="548"/>
      <c r="G104" s="549"/>
      <c r="H104" s="52"/>
      <c r="N104" s="210" t="s">
        <v>30</v>
      </c>
    </row>
    <row r="105" spans="2:14" ht="15" thickBot="1" x14ac:dyDescent="0.35">
      <c r="B105" s="458" t="s">
        <v>374</v>
      </c>
      <c r="C105" s="459"/>
      <c r="D105" s="459"/>
      <c r="E105" s="459"/>
      <c r="F105" s="460"/>
      <c r="G105" s="461"/>
      <c r="H105" s="52"/>
      <c r="N105" s="210" t="s">
        <v>30</v>
      </c>
    </row>
    <row r="106" spans="2:14" ht="25.5" customHeight="1" x14ac:dyDescent="0.3">
      <c r="B106" s="134"/>
      <c r="C106" s="134" t="s">
        <v>260</v>
      </c>
      <c r="D106" s="462" t="s">
        <v>380</v>
      </c>
      <c r="E106" s="462"/>
      <c r="F106" s="135" t="s">
        <v>291</v>
      </c>
      <c r="G106" s="463" t="s">
        <v>251</v>
      </c>
      <c r="H106" s="52"/>
      <c r="J106" s="211" t="s">
        <v>16</v>
      </c>
      <c r="K106" s="212" t="s">
        <v>17</v>
      </c>
      <c r="L106" s="213" t="str">
        <f>'4.TCO Calculation &amp; Comparsion'!$J$3</f>
        <v>VAT included</v>
      </c>
      <c r="N106" s="210" t="s">
        <v>30</v>
      </c>
    </row>
    <row r="107" spans="2:14" x14ac:dyDescent="0.3">
      <c r="B107" s="550" t="s">
        <v>375</v>
      </c>
      <c r="C107" s="516" t="str">
        <f>JenotkaMěny</f>
        <v>EURO</v>
      </c>
      <c r="D107" s="289" t="str">
        <f>'1.Initial Parameters'!$D$11</f>
        <v>YES</v>
      </c>
      <c r="E107" s="551"/>
      <c r="F107" s="506">
        <v>0</v>
      </c>
      <c r="G107" s="503"/>
      <c r="H107" s="52"/>
      <c r="I107" s="220" t="s">
        <v>79</v>
      </c>
      <c r="J107" s="214">
        <f>IF($J$5='1.Initial Parameters'!$D$3,'2. Input Data On-Premise '!F107,'2. Input Data On-Premise '!F107/(1+$K$4))</f>
        <v>0</v>
      </c>
      <c r="K107" s="215">
        <f>IF($K$5='1.Initial Parameters'!$D$3,'2. Input Data On-Premise '!F107,'2. Input Data On-Premise '!F107*(1+$K$4))</f>
        <v>0</v>
      </c>
      <c r="L107" s="216">
        <f>IF($L$166=$J$166,J107,K107)</f>
        <v>0</v>
      </c>
      <c r="N107" s="210" t="s">
        <v>30</v>
      </c>
    </row>
    <row r="108" spans="2:14" x14ac:dyDescent="0.3">
      <c r="B108" s="550" t="s">
        <v>376</v>
      </c>
      <c r="C108" s="516" t="str">
        <f>JenotkaMěny</f>
        <v>EURO</v>
      </c>
      <c r="D108" s="289" t="str">
        <f>'1.Initial Parameters'!$D$11</f>
        <v>YES</v>
      </c>
      <c r="E108" s="551"/>
      <c r="F108" s="506">
        <v>0</v>
      </c>
      <c r="G108" s="503"/>
      <c r="H108" s="52"/>
      <c r="I108" s="220" t="s">
        <v>80</v>
      </c>
      <c r="J108" s="214">
        <f>IF($J$5='1.Initial Parameters'!$D$3,'2. Input Data On-Premise '!F108,'2. Input Data On-Premise '!F108/(1+$K$4))</f>
        <v>0</v>
      </c>
      <c r="K108" s="215">
        <f>IF($K$5='1.Initial Parameters'!$D$3,'2. Input Data On-Premise '!F108,'2. Input Data On-Premise '!F108*(1+$K$4))</f>
        <v>0</v>
      </c>
      <c r="L108" s="216">
        <f>IF($L$166=$J$166,J108,K108)</f>
        <v>0</v>
      </c>
      <c r="N108" s="210" t="s">
        <v>30</v>
      </c>
    </row>
    <row r="109" spans="2:14" x14ac:dyDescent="0.3">
      <c r="B109" s="550" t="s">
        <v>377</v>
      </c>
      <c r="C109" s="516" t="str">
        <f>JenotkaMěny</f>
        <v>EURO</v>
      </c>
      <c r="D109" s="289" t="str">
        <f>'1.Initial Parameters'!$D$11</f>
        <v>YES</v>
      </c>
      <c r="E109" s="551"/>
      <c r="F109" s="506">
        <v>0</v>
      </c>
      <c r="G109" s="503"/>
      <c r="H109" s="52"/>
      <c r="I109" s="220" t="s">
        <v>81</v>
      </c>
      <c r="J109" s="214">
        <f>IF($J$5='1.Initial Parameters'!$D$3,'2. Input Data On-Premise '!F109,'2. Input Data On-Premise '!F109/(1+$K$4))</f>
        <v>0</v>
      </c>
      <c r="K109" s="215">
        <f>IF($K$5='1.Initial Parameters'!$D$3,'2. Input Data On-Premise '!F109,'2. Input Data On-Premise '!F109*(1+$K$4))</f>
        <v>0</v>
      </c>
      <c r="L109" s="216">
        <f>IF($L$166=$J$166,J109,K109)</f>
        <v>0</v>
      </c>
      <c r="N109" s="210" t="s">
        <v>30</v>
      </c>
    </row>
    <row r="110" spans="2:14" x14ac:dyDescent="0.3">
      <c r="B110" s="550" t="s">
        <v>378</v>
      </c>
      <c r="C110" s="543" t="str">
        <f>JenotkaMěny</f>
        <v>EURO</v>
      </c>
      <c r="D110" s="289" t="str">
        <f>'1.Initial Parameters'!$D$11</f>
        <v>YES</v>
      </c>
      <c r="E110" s="542"/>
      <c r="F110" s="506">
        <v>0</v>
      </c>
      <c r="G110" s="503"/>
      <c r="H110" s="52"/>
      <c r="I110" s="245" t="s">
        <v>80</v>
      </c>
      <c r="J110" s="214">
        <f>IF($J$5='1.Initial Parameters'!$D$3,'2. Input Data On-Premise '!F110,'2. Input Data On-Premise '!F110/(1+$K$4))</f>
        <v>0</v>
      </c>
      <c r="K110" s="215">
        <f>IF($K$5='1.Initial Parameters'!$D$3,'2. Input Data On-Premise '!F110,'2. Input Data On-Premise '!F110*(1+$K$4))</f>
        <v>0</v>
      </c>
      <c r="L110" s="216">
        <f>IF($L$166=$J$166,J110,K110)</f>
        <v>0</v>
      </c>
      <c r="N110" s="210" t="s">
        <v>30</v>
      </c>
    </row>
    <row r="111" spans="2:14" ht="15" thickBot="1" x14ac:dyDescent="0.35">
      <c r="B111" s="544" t="s">
        <v>379</v>
      </c>
      <c r="C111" s="520" t="str">
        <f>'1.Initial Parameters'!$D$25</f>
        <v>EURO/year</v>
      </c>
      <c r="D111" s="552"/>
      <c r="E111" s="552"/>
      <c r="F111" s="447">
        <v>0</v>
      </c>
      <c r="G111" s="553"/>
      <c r="H111" s="52"/>
      <c r="I111" s="220" t="s">
        <v>82</v>
      </c>
      <c r="J111" s="217">
        <f>IF($J$5='1.Initial Parameters'!$D$3,'2. Input Data On-Premise '!F111,'2. Input Data On-Premise '!F111/(1+$K$4))</f>
        <v>0</v>
      </c>
      <c r="K111" s="218">
        <f>IF($K$5='1.Initial Parameters'!$D$3,'2. Input Data On-Premise '!F111,'2. Input Data On-Premise '!F111*(1+$K$4))</f>
        <v>0</v>
      </c>
      <c r="L111" s="219">
        <f>IF($L$166=$J$166,J111,K111)</f>
        <v>0</v>
      </c>
      <c r="N111" s="210" t="s">
        <v>30</v>
      </c>
    </row>
    <row r="112" spans="2:14" ht="15.6" thickTop="1" thickBot="1" x14ac:dyDescent="0.35">
      <c r="B112" s="450"/>
      <c r="C112" s="507"/>
      <c r="D112" s="507"/>
      <c r="E112" s="507"/>
      <c r="F112" s="534"/>
      <c r="G112" s="503"/>
      <c r="H112" s="52"/>
      <c r="N112" s="210" t="s">
        <v>30</v>
      </c>
    </row>
    <row r="113" spans="2:14" ht="15" thickBot="1" x14ac:dyDescent="0.35">
      <c r="B113" s="458" t="s">
        <v>815</v>
      </c>
      <c r="C113" s="459"/>
      <c r="D113" s="459"/>
      <c r="E113" s="459"/>
      <c r="F113" s="460"/>
      <c r="G113" s="461"/>
      <c r="H113" s="52"/>
      <c r="N113" s="210" t="s">
        <v>30</v>
      </c>
    </row>
    <row r="114" spans="2:14" x14ac:dyDescent="0.3">
      <c r="B114" s="134"/>
      <c r="C114" s="134" t="s">
        <v>260</v>
      </c>
      <c r="D114" s="134"/>
      <c r="E114" s="134"/>
      <c r="F114" s="135" t="s">
        <v>291</v>
      </c>
      <c r="G114" s="463" t="s">
        <v>251</v>
      </c>
      <c r="H114" s="52"/>
      <c r="J114" s="211" t="s">
        <v>16</v>
      </c>
      <c r="K114" s="212" t="s">
        <v>17</v>
      </c>
      <c r="L114" s="213" t="str">
        <f>'4.TCO Calculation &amp; Comparsion'!$J$3</f>
        <v>VAT included</v>
      </c>
      <c r="N114" s="210" t="s">
        <v>30</v>
      </c>
    </row>
    <row r="115" spans="2:14" x14ac:dyDescent="0.3">
      <c r="B115" s="123" t="s">
        <v>381</v>
      </c>
      <c r="C115" s="499" t="str">
        <f>'1.Initial Parameters'!$D$29</f>
        <v>EURO/1kWh</v>
      </c>
      <c r="D115" s="499"/>
      <c r="E115" s="499"/>
      <c r="F115" s="506">
        <v>0</v>
      </c>
      <c r="G115" s="503" t="s">
        <v>385</v>
      </c>
      <c r="H115" s="52"/>
      <c r="I115" s="220" t="s">
        <v>83</v>
      </c>
      <c r="J115" s="249">
        <f>IF($J$5='1.Initial Parameters'!$D$3,'2. Input Data On-Premise '!F115,'2. Input Data On-Premise '!F115/(1+$K$4))</f>
        <v>0</v>
      </c>
      <c r="K115" s="250">
        <f>IF($K$5='1.Initial Parameters'!$D$3,'2. Input Data On-Premise '!F115,'2. Input Data On-Premise '!F115*(1+$K$4))</f>
        <v>0</v>
      </c>
      <c r="L115" s="251">
        <f>IF($L$166=$J$166,J115,K115)</f>
        <v>0</v>
      </c>
      <c r="N115" s="210" t="s">
        <v>30</v>
      </c>
    </row>
    <row r="116" spans="2:14" x14ac:dyDescent="0.3">
      <c r="B116" s="123" t="s">
        <v>382</v>
      </c>
      <c r="C116" s="499" t="str">
        <f>'1.Initial Parameters'!$D$34</f>
        <v>kWh</v>
      </c>
      <c r="D116" s="499"/>
      <c r="E116" s="499"/>
      <c r="F116" s="506">
        <v>0</v>
      </c>
      <c r="G116" s="503"/>
      <c r="H116" s="52"/>
      <c r="I116" s="220" t="s">
        <v>84</v>
      </c>
      <c r="J116" s="214">
        <f>J115*SpotrebaElektrinyServerRok</f>
        <v>0</v>
      </c>
      <c r="K116" s="215">
        <f>K115*SpotrebaElektrinyServerRok</f>
        <v>0</v>
      </c>
      <c r="L116" s="216">
        <f>IF($L$166=$J$166,J116,K116)</f>
        <v>0</v>
      </c>
      <c r="N116" s="210" t="s">
        <v>30</v>
      </c>
    </row>
    <row r="117" spans="2:14" x14ac:dyDescent="0.3">
      <c r="B117" s="123" t="s">
        <v>383</v>
      </c>
      <c r="C117" s="499" t="str">
        <f>'1.Initial Parameters'!$D$34</f>
        <v>kWh</v>
      </c>
      <c r="D117" s="507"/>
      <c r="E117" s="507"/>
      <c r="F117" s="506">
        <v>0</v>
      </c>
      <c r="G117" s="508"/>
      <c r="H117" s="52"/>
      <c r="I117" s="220" t="s">
        <v>85</v>
      </c>
      <c r="J117" s="214">
        <f>J115*SpotrebaElektrinyUlozisteRok</f>
        <v>0</v>
      </c>
      <c r="K117" s="215">
        <f>K115*SpotrebaElektrinyUlozisteRok</f>
        <v>0</v>
      </c>
      <c r="L117" s="216">
        <f>IF($L$166=$J$166,J117,K117)</f>
        <v>0</v>
      </c>
      <c r="N117" s="210" t="s">
        <v>30</v>
      </c>
    </row>
    <row r="118" spans="2:14" ht="15" thickBot="1" x14ac:dyDescent="0.35">
      <c r="B118" s="123" t="s">
        <v>384</v>
      </c>
      <c r="C118" s="499" t="str">
        <f>'1.Initial Parameters'!$D$34</f>
        <v>kWh</v>
      </c>
      <c r="D118" s="507"/>
      <c r="E118" s="507"/>
      <c r="F118" s="506">
        <v>0</v>
      </c>
      <c r="G118" s="508"/>
      <c r="H118" s="52"/>
      <c r="I118" s="220" t="s">
        <v>86</v>
      </c>
      <c r="J118" s="217">
        <f>J115*SpotrebaElektrinyOstatni</f>
        <v>0</v>
      </c>
      <c r="K118" s="218">
        <f>K115*SpotrebaElektrinyOstatni</f>
        <v>0</v>
      </c>
      <c r="L118" s="219">
        <f>IF($L$166=$J$166,J118,K118)</f>
        <v>0</v>
      </c>
      <c r="N118" s="210" t="s">
        <v>30</v>
      </c>
    </row>
    <row r="119" spans="2:14" ht="15.6" thickTop="1" thickBot="1" x14ac:dyDescent="0.35">
      <c r="B119" s="544" t="s">
        <v>816</v>
      </c>
      <c r="C119" s="552" t="str">
        <f>JenotkaMěny</f>
        <v>EURO</v>
      </c>
      <c r="D119" s="552"/>
      <c r="E119" s="552"/>
      <c r="F119" s="447">
        <v>0</v>
      </c>
      <c r="G119" s="554" t="s">
        <v>386</v>
      </c>
      <c r="H119" s="52"/>
      <c r="I119" s="220" t="s">
        <v>87</v>
      </c>
      <c r="J119" s="217">
        <f>IF($J$5='1.Initial Parameters'!$D$3,'2. Input Data On-Premise '!F119,'2. Input Data On-Premise '!F119/(1+$K$4))</f>
        <v>0</v>
      </c>
      <c r="K119" s="218">
        <f>IF($K$5='1.Initial Parameters'!$D$3,'2. Input Data On-Premise '!F119,'2. Input Data On-Premise '!F119*(1+$K$4))</f>
        <v>0</v>
      </c>
      <c r="L119" s="219">
        <f>IF($L$166=$J$166,J119,K119)</f>
        <v>0</v>
      </c>
      <c r="N119" s="210" t="s">
        <v>30</v>
      </c>
    </row>
    <row r="120" spans="2:14" ht="15" thickTop="1" x14ac:dyDescent="0.3">
      <c r="B120" s="450"/>
      <c r="C120" s="450"/>
      <c r="D120" s="450"/>
      <c r="E120" s="450"/>
      <c r="F120" s="450"/>
      <c r="G120" s="555"/>
      <c r="H120" s="52"/>
      <c r="N120" s="210" t="s">
        <v>30</v>
      </c>
    </row>
    <row r="121" spans="2:14" ht="15.6" x14ac:dyDescent="0.3">
      <c r="B121" s="454" t="s">
        <v>387</v>
      </c>
      <c r="C121" s="507"/>
      <c r="D121" s="507"/>
      <c r="E121" s="507"/>
      <c r="F121" s="556"/>
      <c r="G121" s="557"/>
      <c r="H121" s="52"/>
      <c r="N121" s="210" t="s">
        <v>30</v>
      </c>
    </row>
    <row r="122" spans="2:14" ht="5.25" customHeight="1" thickBot="1" x14ac:dyDescent="0.35">
      <c r="B122" s="449"/>
      <c r="C122" s="449"/>
      <c r="D122" s="449"/>
      <c r="E122" s="449"/>
      <c r="F122" s="455"/>
      <c r="G122" s="555"/>
      <c r="H122" s="52"/>
      <c r="N122" s="210" t="s">
        <v>30</v>
      </c>
    </row>
    <row r="123" spans="2:14" ht="15" thickBot="1" x14ac:dyDescent="0.35">
      <c r="B123" s="458" t="s">
        <v>388</v>
      </c>
      <c r="C123" s="459"/>
      <c r="D123" s="459"/>
      <c r="E123" s="459"/>
      <c r="F123" s="460"/>
      <c r="G123" s="461"/>
      <c r="H123" s="52"/>
      <c r="N123" s="210" t="s">
        <v>30</v>
      </c>
    </row>
    <row r="124" spans="2:14" x14ac:dyDescent="0.3">
      <c r="B124" s="134"/>
      <c r="C124" s="137" t="s">
        <v>260</v>
      </c>
      <c r="D124" s="558" t="s">
        <v>88</v>
      </c>
      <c r="E124" s="137" t="s">
        <v>394</v>
      </c>
      <c r="F124" s="135" t="s">
        <v>291</v>
      </c>
      <c r="G124" s="559" t="s">
        <v>251</v>
      </c>
      <c r="H124" s="52"/>
      <c r="J124" s="211" t="s">
        <v>16</v>
      </c>
      <c r="K124" s="212" t="s">
        <v>17</v>
      </c>
      <c r="L124" s="213" t="str">
        <f>'4.TCO Calculation &amp; Comparsion'!$J$3</f>
        <v>VAT included</v>
      </c>
      <c r="N124" s="210" t="s">
        <v>30</v>
      </c>
    </row>
    <row r="125" spans="2:14" ht="25.5" customHeight="1" x14ac:dyDescent="0.3">
      <c r="B125" s="560" t="s">
        <v>389</v>
      </c>
      <c r="C125" s="123" t="str">
        <f>'1.Initial Parameters'!$D$27</f>
        <v>Hour/year</v>
      </c>
      <c r="D125" s="500">
        <v>2</v>
      </c>
      <c r="E125" s="501">
        <f>VLOOKUP(D125,'1.Initial Parameters'!$D$44:$E$46,2,FALSE)</f>
        <v>657</v>
      </c>
      <c r="F125" s="48">
        <v>0</v>
      </c>
      <c r="G125" s="561"/>
      <c r="H125" s="52"/>
      <c r="I125" s="220" t="s">
        <v>90</v>
      </c>
      <c r="J125" s="214">
        <f>E125*F125</f>
        <v>0</v>
      </c>
      <c r="K125" s="215">
        <f>E125*F125</f>
        <v>0</v>
      </c>
      <c r="L125" s="216">
        <f>IF($L$166=$J$166,J125,K125)</f>
        <v>0</v>
      </c>
      <c r="N125" s="210" t="s">
        <v>91</v>
      </c>
    </row>
    <row r="126" spans="2:14" x14ac:dyDescent="0.3">
      <c r="B126" s="560" t="s">
        <v>390</v>
      </c>
      <c r="C126" s="123" t="str">
        <f>'1.Initial Parameters'!$D$27</f>
        <v>Hour/year</v>
      </c>
      <c r="D126" s="500">
        <v>1</v>
      </c>
      <c r="E126" s="501">
        <f>VLOOKUP(D126,'1.Initial Parameters'!$D$44:$E$46,2,FALSE)</f>
        <v>654</v>
      </c>
      <c r="F126" s="48">
        <v>0</v>
      </c>
      <c r="G126" s="561"/>
      <c r="H126" s="52"/>
      <c r="I126" s="245" t="s">
        <v>90</v>
      </c>
      <c r="J126" s="214">
        <f t="shared" ref="J126:J127" si="6">E126*F126</f>
        <v>0</v>
      </c>
      <c r="K126" s="215">
        <f t="shared" ref="K126:K127" si="7">E126*F126</f>
        <v>0</v>
      </c>
      <c r="L126" s="216">
        <f>IF($L$166=$J$166,J126,K126)</f>
        <v>0</v>
      </c>
      <c r="N126" s="210" t="s">
        <v>91</v>
      </c>
    </row>
    <row r="127" spans="2:14" ht="15" customHeight="1" x14ac:dyDescent="0.3">
      <c r="B127" s="560" t="s">
        <v>391</v>
      </c>
      <c r="C127" s="123" t="str">
        <f>'1.Initial Parameters'!$D$27</f>
        <v>Hour/year</v>
      </c>
      <c r="D127" s="500">
        <v>3</v>
      </c>
      <c r="E127" s="501">
        <f>VLOOKUP(D127,'1.Initial Parameters'!$D$44:$E$46,2,FALSE)</f>
        <v>709</v>
      </c>
      <c r="F127" s="48">
        <v>0</v>
      </c>
      <c r="G127" s="561"/>
      <c r="H127" s="52"/>
      <c r="I127" s="245" t="s">
        <v>90</v>
      </c>
      <c r="J127" s="214">
        <f t="shared" si="6"/>
        <v>0</v>
      </c>
      <c r="K127" s="215">
        <f t="shared" si="7"/>
        <v>0</v>
      </c>
      <c r="L127" s="216">
        <f>IF($L$166=$J$166,J127,K127)</f>
        <v>0</v>
      </c>
      <c r="N127" s="210" t="s">
        <v>91</v>
      </c>
    </row>
    <row r="128" spans="2:14" ht="15.6" customHeight="1" thickBot="1" x14ac:dyDescent="0.35">
      <c r="B128" s="560" t="s">
        <v>392</v>
      </c>
      <c r="C128" s="123" t="str">
        <f>'1.Initial Parameters'!$D$25</f>
        <v>EURO/year</v>
      </c>
      <c r="D128" s="562"/>
      <c r="E128" s="501"/>
      <c r="F128" s="48">
        <v>0</v>
      </c>
      <c r="G128" s="561"/>
      <c r="H128" s="52"/>
      <c r="I128" s="245" t="s">
        <v>90</v>
      </c>
      <c r="J128" s="217">
        <f>IF($J$5='1.Initial Parameters'!$D$3,'2. Input Data On-Premise '!F128,'2. Input Data On-Premise '!F128/(1+$K$4))</f>
        <v>0</v>
      </c>
      <c r="K128" s="218">
        <f>IF($K$5='1.Initial Parameters'!$D$3,'2. Input Data On-Premise '!F128,'2. Input Data On-Premise '!F128*(1+$K$4))</f>
        <v>0</v>
      </c>
      <c r="L128" s="219">
        <f>IF($L$166=$J$166,J128,K128)</f>
        <v>0</v>
      </c>
      <c r="N128" s="210" t="s">
        <v>30</v>
      </c>
    </row>
    <row r="129" spans="2:14" ht="15.6" thickTop="1" thickBot="1" x14ac:dyDescent="0.35">
      <c r="B129" s="563" t="s">
        <v>393</v>
      </c>
      <c r="C129" s="544" t="str">
        <f>'1.Initial Parameters'!$D$25</f>
        <v>EURO/year</v>
      </c>
      <c r="D129" s="544"/>
      <c r="E129" s="544"/>
      <c r="F129" s="662">
        <f>IF($J$166='1.Initial Parameters'!$D$3,J129,K129)</f>
        <v>0</v>
      </c>
      <c r="G129" s="564" t="str">
        <f>_xlfn.CONCAT(JenotkaMěny," total/year")</f>
        <v>EURO total/year</v>
      </c>
      <c r="H129" s="52"/>
      <c r="J129" s="252">
        <f>SUM(J125:J128)</f>
        <v>0</v>
      </c>
      <c r="K129" s="253">
        <f>SUM(K125:K128)</f>
        <v>0</v>
      </c>
      <c r="L129" s="254">
        <f>SUM(L125:L128)</f>
        <v>0</v>
      </c>
      <c r="N129" s="210" t="s">
        <v>30</v>
      </c>
    </row>
    <row r="130" spans="2:14" ht="15.6" thickTop="1" thickBot="1" x14ac:dyDescent="0.35">
      <c r="B130" s="565"/>
      <c r="C130" s="456"/>
      <c r="D130" s="456"/>
      <c r="E130" s="456"/>
      <c r="F130" s="566"/>
      <c r="G130" s="555"/>
      <c r="H130" s="52"/>
      <c r="N130" s="210" t="s">
        <v>30</v>
      </c>
    </row>
    <row r="131" spans="2:14" ht="15" thickBot="1" x14ac:dyDescent="0.35">
      <c r="B131" s="104" t="s">
        <v>395</v>
      </c>
      <c r="C131" s="459"/>
      <c r="D131" s="459"/>
      <c r="E131" s="459"/>
      <c r="F131" s="567"/>
      <c r="G131" s="461"/>
      <c r="H131" s="52"/>
      <c r="N131" s="210" t="s">
        <v>30</v>
      </c>
    </row>
    <row r="132" spans="2:14" x14ac:dyDescent="0.3">
      <c r="B132" s="134"/>
      <c r="C132" s="137" t="s">
        <v>260</v>
      </c>
      <c r="D132" s="558" t="s">
        <v>88</v>
      </c>
      <c r="E132" s="137" t="s">
        <v>394</v>
      </c>
      <c r="F132" s="135" t="s">
        <v>291</v>
      </c>
      <c r="G132" s="559" t="s">
        <v>251</v>
      </c>
      <c r="H132" s="52"/>
      <c r="J132" s="211" t="s">
        <v>16</v>
      </c>
      <c r="K132" s="212" t="s">
        <v>17</v>
      </c>
      <c r="L132" s="213" t="str">
        <f>'4.TCO Calculation &amp; Comparsion'!$J$3</f>
        <v>VAT included</v>
      </c>
      <c r="N132" s="210" t="s">
        <v>30</v>
      </c>
    </row>
    <row r="133" spans="2:14" ht="22.95" customHeight="1" x14ac:dyDescent="0.3">
      <c r="B133" s="560" t="s">
        <v>396</v>
      </c>
      <c r="C133" s="123" t="str">
        <f>'1.Initial Parameters'!$D$27</f>
        <v>Hour/year</v>
      </c>
      <c r="D133" s="500">
        <v>1</v>
      </c>
      <c r="E133" s="501">
        <f>VLOOKUP(D133,'1.Initial Parameters'!$D$44:$E$46,2,FALSE)</f>
        <v>654</v>
      </c>
      <c r="F133" s="568">
        <v>0</v>
      </c>
      <c r="G133" s="561"/>
      <c r="H133" s="52"/>
      <c r="I133" s="255" t="s">
        <v>92</v>
      </c>
      <c r="J133" s="214">
        <f>E133*F133</f>
        <v>0</v>
      </c>
      <c r="K133" s="215">
        <f>E133*F133</f>
        <v>0</v>
      </c>
      <c r="L133" s="216">
        <f>IF($L$4=$J$4,J133,K133)</f>
        <v>0</v>
      </c>
      <c r="N133" s="210" t="s">
        <v>91</v>
      </c>
    </row>
    <row r="134" spans="2:14" ht="18" customHeight="1" x14ac:dyDescent="0.3">
      <c r="B134" s="560" t="s">
        <v>397</v>
      </c>
      <c r="C134" s="123" t="str">
        <f>'1.Initial Parameters'!$D$27</f>
        <v>Hour/year</v>
      </c>
      <c r="D134" s="500">
        <v>2</v>
      </c>
      <c r="E134" s="501">
        <f>VLOOKUP(D134,'1.Initial Parameters'!$D$44:$E$46,2,FALSE)</f>
        <v>657</v>
      </c>
      <c r="F134" s="568">
        <v>0</v>
      </c>
      <c r="G134" s="561"/>
      <c r="H134" s="52"/>
      <c r="I134" s="255" t="s">
        <v>93</v>
      </c>
      <c r="J134" s="214">
        <f>E134*F134</f>
        <v>0</v>
      </c>
      <c r="K134" s="215">
        <f>E134*F134</f>
        <v>0</v>
      </c>
      <c r="L134" s="216">
        <f>IF($L$4=$J$4,J134,K134)</f>
        <v>0</v>
      </c>
      <c r="N134" s="210" t="s">
        <v>91</v>
      </c>
    </row>
    <row r="135" spans="2:14" ht="14.4" customHeight="1" x14ac:dyDescent="0.3">
      <c r="B135" s="560" t="s">
        <v>398</v>
      </c>
      <c r="C135" s="123" t="str">
        <f>'1.Initial Parameters'!$D$27</f>
        <v>Hour/year</v>
      </c>
      <c r="D135" s="500">
        <v>3</v>
      </c>
      <c r="E135" s="501">
        <f>VLOOKUP(D135,'1.Initial Parameters'!$D$44:$E$46,2,FALSE)</f>
        <v>709</v>
      </c>
      <c r="F135" s="568">
        <v>0</v>
      </c>
      <c r="G135" s="561"/>
      <c r="H135" s="52"/>
      <c r="I135" s="255" t="s">
        <v>94</v>
      </c>
      <c r="J135" s="214">
        <f t="shared" ref="J135:J146" si="8">E135*F135</f>
        <v>0</v>
      </c>
      <c r="K135" s="215">
        <f t="shared" ref="K135:K146" si="9">E135*F135</f>
        <v>0</v>
      </c>
      <c r="L135" s="216">
        <f t="shared" ref="L135:L146" si="10">IF($L$4=$J$4,J135,K135)</f>
        <v>0</v>
      </c>
      <c r="N135" s="210" t="s">
        <v>91</v>
      </c>
    </row>
    <row r="136" spans="2:14" ht="14.4" customHeight="1" x14ac:dyDescent="0.3">
      <c r="B136" s="560" t="s">
        <v>399</v>
      </c>
      <c r="C136" s="123" t="str">
        <f>'1.Initial Parameters'!$D$27</f>
        <v>Hour/year</v>
      </c>
      <c r="D136" s="500">
        <v>3</v>
      </c>
      <c r="E136" s="501">
        <f>VLOOKUP(D136,'1.Initial Parameters'!$D$44:$E$46,2,FALSE)</f>
        <v>709</v>
      </c>
      <c r="F136" s="568">
        <v>0</v>
      </c>
      <c r="G136" s="561"/>
      <c r="H136" s="52"/>
      <c r="I136" s="255" t="s">
        <v>95</v>
      </c>
      <c r="J136" s="214">
        <f>E136*F136</f>
        <v>0</v>
      </c>
      <c r="K136" s="215">
        <f>E136*F136</f>
        <v>0</v>
      </c>
      <c r="L136" s="216">
        <f>IF($L$4=$J$4,J136,K136)</f>
        <v>0</v>
      </c>
      <c r="N136" s="210" t="s">
        <v>91</v>
      </c>
    </row>
    <row r="137" spans="2:14" x14ac:dyDescent="0.3">
      <c r="B137" s="560" t="s">
        <v>400</v>
      </c>
      <c r="C137" s="123" t="str">
        <f>'1.Initial Parameters'!$D$27</f>
        <v>Hour/year</v>
      </c>
      <c r="D137" s="500">
        <v>1</v>
      </c>
      <c r="E137" s="501">
        <f>VLOOKUP(D137,'1.Initial Parameters'!$D$44:$E$46,2,FALSE)</f>
        <v>654</v>
      </c>
      <c r="F137" s="568">
        <v>0</v>
      </c>
      <c r="G137" s="561"/>
      <c r="H137" s="52"/>
      <c r="I137" s="255" t="s">
        <v>96</v>
      </c>
      <c r="J137" s="214">
        <f t="shared" si="8"/>
        <v>0</v>
      </c>
      <c r="K137" s="215">
        <f t="shared" si="9"/>
        <v>0</v>
      </c>
      <c r="L137" s="216">
        <f t="shared" si="10"/>
        <v>0</v>
      </c>
      <c r="N137" s="210" t="s">
        <v>91</v>
      </c>
    </row>
    <row r="138" spans="2:14" x14ac:dyDescent="0.3">
      <c r="B138" s="560" t="s">
        <v>401</v>
      </c>
      <c r="C138" s="123" t="str">
        <f>'1.Initial Parameters'!$D$27</f>
        <v>Hour/year</v>
      </c>
      <c r="D138" s="500">
        <v>2</v>
      </c>
      <c r="E138" s="501">
        <f>VLOOKUP(D138,'1.Initial Parameters'!$D$44:$E$46,2,FALSE)</f>
        <v>657</v>
      </c>
      <c r="F138" s="568">
        <v>0</v>
      </c>
      <c r="G138" s="561"/>
      <c r="H138" s="52"/>
      <c r="I138" s="255" t="s">
        <v>97</v>
      </c>
      <c r="J138" s="214">
        <f>E138*F138</f>
        <v>0</v>
      </c>
      <c r="K138" s="215">
        <f>E138*F138</f>
        <v>0</v>
      </c>
      <c r="L138" s="216">
        <f>IF($L$4=$J$4,J138,K138)</f>
        <v>0</v>
      </c>
      <c r="N138" s="210" t="s">
        <v>91</v>
      </c>
    </row>
    <row r="139" spans="2:14" x14ac:dyDescent="0.3">
      <c r="B139" s="560" t="s">
        <v>402</v>
      </c>
      <c r="C139" s="123" t="str">
        <f>'1.Initial Parameters'!$D$27</f>
        <v>Hour/year</v>
      </c>
      <c r="D139" s="500">
        <v>2</v>
      </c>
      <c r="E139" s="501">
        <f>VLOOKUP(D139,'1.Initial Parameters'!$D$44:$E$46,2,FALSE)</f>
        <v>657</v>
      </c>
      <c r="F139" s="568">
        <v>0</v>
      </c>
      <c r="G139" s="561"/>
      <c r="H139" s="52"/>
      <c r="I139" s="255" t="s">
        <v>98</v>
      </c>
      <c r="J139" s="214">
        <f t="shared" si="8"/>
        <v>0</v>
      </c>
      <c r="K139" s="215">
        <f t="shared" si="9"/>
        <v>0</v>
      </c>
      <c r="L139" s="216">
        <f t="shared" si="10"/>
        <v>0</v>
      </c>
      <c r="N139" s="210" t="s">
        <v>91</v>
      </c>
    </row>
    <row r="140" spans="2:14" x14ac:dyDescent="0.3">
      <c r="B140" s="560" t="s">
        <v>403</v>
      </c>
      <c r="C140" s="123" t="str">
        <f>'1.Initial Parameters'!$D$27</f>
        <v>Hour/year</v>
      </c>
      <c r="D140" s="500">
        <v>2</v>
      </c>
      <c r="E140" s="501">
        <f>VLOOKUP(D140,'1.Initial Parameters'!$D$44:$E$46,2,FALSE)</f>
        <v>657</v>
      </c>
      <c r="F140" s="568">
        <v>0</v>
      </c>
      <c r="G140" s="561"/>
      <c r="H140" s="52"/>
      <c r="I140" s="255" t="s">
        <v>99</v>
      </c>
      <c r="J140" s="214">
        <f>E140*F140</f>
        <v>0</v>
      </c>
      <c r="K140" s="215">
        <f>E140*F140</f>
        <v>0</v>
      </c>
      <c r="L140" s="216">
        <f>IF($L$4=$J$4,J140,K140)</f>
        <v>0</v>
      </c>
      <c r="N140" s="210" t="s">
        <v>91</v>
      </c>
    </row>
    <row r="141" spans="2:14" ht="27.6" x14ac:dyDescent="0.3">
      <c r="B141" s="560" t="s">
        <v>404</v>
      </c>
      <c r="C141" s="123" t="str">
        <f>'1.Initial Parameters'!$D$27</f>
        <v>Hour/year</v>
      </c>
      <c r="D141" s="500">
        <v>2</v>
      </c>
      <c r="E141" s="501">
        <f>VLOOKUP(D141,'1.Initial Parameters'!$D$44:$E$46,2,FALSE)</f>
        <v>657</v>
      </c>
      <c r="F141" s="568">
        <v>0</v>
      </c>
      <c r="G141" s="561"/>
      <c r="H141" s="52"/>
      <c r="I141" s="255" t="s">
        <v>100</v>
      </c>
      <c r="J141" s="214">
        <f t="shared" si="8"/>
        <v>0</v>
      </c>
      <c r="K141" s="215">
        <f t="shared" si="9"/>
        <v>0</v>
      </c>
      <c r="L141" s="216">
        <f t="shared" si="10"/>
        <v>0</v>
      </c>
      <c r="N141" s="210" t="s">
        <v>91</v>
      </c>
    </row>
    <row r="142" spans="2:14" x14ac:dyDescent="0.3">
      <c r="B142" s="522" t="s">
        <v>405</v>
      </c>
      <c r="C142" s="123" t="str">
        <f>'1.Initial Parameters'!$D$27</f>
        <v>Hour/year</v>
      </c>
      <c r="D142" s="500">
        <v>2</v>
      </c>
      <c r="E142" s="501">
        <f>VLOOKUP(D142,'1.Initial Parameters'!$D$44:$E$46,2,FALSE)</f>
        <v>657</v>
      </c>
      <c r="F142" s="568">
        <v>0</v>
      </c>
      <c r="G142" s="561"/>
      <c r="H142" s="52"/>
      <c r="I142" s="255" t="s">
        <v>95</v>
      </c>
      <c r="J142" s="214">
        <f>E142*F142</f>
        <v>0</v>
      </c>
      <c r="K142" s="215">
        <f>E142*F142</f>
        <v>0</v>
      </c>
      <c r="L142" s="216">
        <f>IF($L$4=$J$4,J142,K142)</f>
        <v>0</v>
      </c>
      <c r="N142" s="210" t="s">
        <v>91</v>
      </c>
    </row>
    <row r="143" spans="2:14" x14ac:dyDescent="0.3">
      <c r="B143" s="560" t="s">
        <v>406</v>
      </c>
      <c r="C143" s="123" t="str">
        <f>'1.Initial Parameters'!$D$27</f>
        <v>Hour/year</v>
      </c>
      <c r="D143" s="500">
        <v>2</v>
      </c>
      <c r="E143" s="501">
        <f>VLOOKUP(D143,'1.Initial Parameters'!$D$44:$E$46,2,FALSE)</f>
        <v>657</v>
      </c>
      <c r="F143" s="568">
        <v>0</v>
      </c>
      <c r="G143" s="561"/>
      <c r="H143" s="52"/>
      <c r="I143" s="255" t="s">
        <v>101</v>
      </c>
      <c r="J143" s="214">
        <f>E143*F143</f>
        <v>0</v>
      </c>
      <c r="K143" s="215">
        <f>E143*F143</f>
        <v>0</v>
      </c>
      <c r="L143" s="216">
        <f>IF($L$4=$J$4,J143,K143)</f>
        <v>0</v>
      </c>
      <c r="N143" s="210" t="s">
        <v>91</v>
      </c>
    </row>
    <row r="144" spans="2:14" x14ac:dyDescent="0.3">
      <c r="B144" s="560" t="s">
        <v>407</v>
      </c>
      <c r="C144" s="123" t="str">
        <f>'1.Initial Parameters'!$D$27</f>
        <v>Hour/year</v>
      </c>
      <c r="D144" s="500">
        <v>3</v>
      </c>
      <c r="E144" s="501">
        <f>VLOOKUP(D144,'1.Initial Parameters'!$D$44:$E$46,2,FALSE)</f>
        <v>709</v>
      </c>
      <c r="F144" s="568">
        <v>0</v>
      </c>
      <c r="G144" s="561"/>
      <c r="H144" s="52"/>
      <c r="I144" s="255" t="s">
        <v>102</v>
      </c>
      <c r="J144" s="214">
        <f>E144*F144</f>
        <v>0</v>
      </c>
      <c r="K144" s="215">
        <f>E144*F144</f>
        <v>0</v>
      </c>
      <c r="L144" s="216">
        <f>IF($L$4=$J$4,J144,K144)</f>
        <v>0</v>
      </c>
      <c r="N144" s="210" t="s">
        <v>91</v>
      </c>
    </row>
    <row r="145" spans="2:15" x14ac:dyDescent="0.3">
      <c r="B145" s="560" t="s">
        <v>408</v>
      </c>
      <c r="C145" s="123" t="str">
        <f>'1.Initial Parameters'!$D$27</f>
        <v>Hour/year</v>
      </c>
      <c r="D145" s="500">
        <v>3</v>
      </c>
      <c r="E145" s="501">
        <f>VLOOKUP(D145,'1.Initial Parameters'!$D$44:$E$46,2,FALSE)</f>
        <v>709</v>
      </c>
      <c r="F145" s="568">
        <v>0</v>
      </c>
      <c r="G145" s="561"/>
      <c r="H145" s="52"/>
      <c r="I145" s="255" t="s">
        <v>103</v>
      </c>
      <c r="J145" s="214">
        <f t="shared" si="8"/>
        <v>0</v>
      </c>
      <c r="K145" s="215">
        <f t="shared" si="9"/>
        <v>0</v>
      </c>
      <c r="L145" s="216">
        <f t="shared" si="10"/>
        <v>0</v>
      </c>
      <c r="N145" s="210" t="s">
        <v>104</v>
      </c>
    </row>
    <row r="146" spans="2:15" ht="27.6" x14ac:dyDescent="0.3">
      <c r="B146" s="569" t="s">
        <v>409</v>
      </c>
      <c r="C146" s="123" t="str">
        <f>'1.Initial Parameters'!$D$27</f>
        <v>Hour/year</v>
      </c>
      <c r="D146" s="500">
        <v>2</v>
      </c>
      <c r="E146" s="501">
        <f>VLOOKUP(D146,'1.Initial Parameters'!$D$44:$E$46,2,FALSE)</f>
        <v>657</v>
      </c>
      <c r="F146" s="568">
        <v>0</v>
      </c>
      <c r="G146" s="503"/>
      <c r="H146" s="52"/>
      <c r="I146" s="220" t="s">
        <v>105</v>
      </c>
      <c r="J146" s="214">
        <f t="shared" si="8"/>
        <v>0</v>
      </c>
      <c r="K146" s="215">
        <f t="shared" si="9"/>
        <v>0</v>
      </c>
      <c r="L146" s="216">
        <f t="shared" si="10"/>
        <v>0</v>
      </c>
      <c r="N146" s="210" t="s">
        <v>44</v>
      </c>
    </row>
    <row r="147" spans="2:15" ht="27.6" x14ac:dyDescent="0.3">
      <c r="B147" s="569" t="s">
        <v>409</v>
      </c>
      <c r="C147" s="123" t="str">
        <f>'1.Initial Parameters'!$D$25</f>
        <v>EURO/year</v>
      </c>
      <c r="D147" s="562"/>
      <c r="E147" s="501"/>
      <c r="F147" s="535">
        <v>0</v>
      </c>
      <c r="G147" s="503"/>
      <c r="H147" s="52"/>
      <c r="I147" s="235" t="s">
        <v>106</v>
      </c>
      <c r="J147" s="214">
        <f>IF($J$5='1.Initial Parameters'!$D$3,'2. Input Data On-Premise '!F147,'2. Input Data On-Premise '!F147/(1+$K$4))</f>
        <v>0</v>
      </c>
      <c r="K147" s="215">
        <f>IF($K$5='1.Initial Parameters'!$D$3,'2. Input Data On-Premise '!F147,'2. Input Data On-Premise '!F147*(1+$K$4))</f>
        <v>0</v>
      </c>
      <c r="L147" s="216">
        <f>IF($L$166=$J$166,J147,K147)</f>
        <v>0</v>
      </c>
      <c r="N147" s="210" t="s">
        <v>30</v>
      </c>
    </row>
    <row r="148" spans="2:15" x14ac:dyDescent="0.3">
      <c r="B148" s="123" t="s">
        <v>410</v>
      </c>
      <c r="C148" s="123" t="str">
        <f>'1.Initial Parameters'!$D$27</f>
        <v>Hour/year</v>
      </c>
      <c r="D148" s="500">
        <v>2</v>
      </c>
      <c r="E148" s="501">
        <f>VLOOKUP(D148,'1.Initial Parameters'!$D$44:$E$46,2,FALSE)</f>
        <v>657</v>
      </c>
      <c r="F148" s="568">
        <v>0</v>
      </c>
      <c r="G148" s="503"/>
      <c r="H148" s="52"/>
      <c r="I148" s="220" t="s">
        <v>107</v>
      </c>
      <c r="J148" s="214">
        <f t="shared" ref="J148" si="11">E148*F148</f>
        <v>0</v>
      </c>
      <c r="K148" s="215">
        <f t="shared" ref="K148" si="12">E148*F148</f>
        <v>0</v>
      </c>
      <c r="L148" s="216">
        <f t="shared" ref="L148" si="13">IF($L$4=$J$4,J148,K148)</f>
        <v>0</v>
      </c>
      <c r="N148" s="210" t="s">
        <v>104</v>
      </c>
      <c r="O148" s="256" t="s">
        <v>165</v>
      </c>
    </row>
    <row r="149" spans="2:15" ht="15.6" customHeight="1" x14ac:dyDescent="0.3">
      <c r="B149" s="560" t="s">
        <v>411</v>
      </c>
      <c r="C149" s="123" t="str">
        <f>'1.Initial Parameters'!$D$25</f>
        <v>EURO/year</v>
      </c>
      <c r="D149" s="562"/>
      <c r="E149" s="501"/>
      <c r="F149" s="48">
        <v>0</v>
      </c>
      <c r="G149" s="561"/>
      <c r="H149" s="52"/>
      <c r="I149" s="257" t="s">
        <v>101</v>
      </c>
      <c r="J149" s="214">
        <f>IF($J$5='1.Initial Parameters'!$D$3,'2. Input Data On-Premise '!F149,'2. Input Data On-Premise '!F149/(1+$K$4))</f>
        <v>0</v>
      </c>
      <c r="K149" s="215">
        <f>IF($K$5='1.Initial Parameters'!$D$3,'2. Input Data On-Premise '!F149,'2. Input Data On-Premise '!F149*(1+$K$4))</f>
        <v>0</v>
      </c>
      <c r="L149" s="216">
        <f>IF($L$166=$J$166,J149,K149)</f>
        <v>0</v>
      </c>
      <c r="N149" s="210" t="s">
        <v>30</v>
      </c>
    </row>
    <row r="150" spans="2:15" ht="15.6" customHeight="1" x14ac:dyDescent="0.3">
      <c r="B150" s="560" t="s">
        <v>412</v>
      </c>
      <c r="C150" s="123" t="str">
        <f>'1.Initial Parameters'!$D$25</f>
        <v>EURO/year</v>
      </c>
      <c r="D150" s="562"/>
      <c r="E150" s="501"/>
      <c r="F150" s="48">
        <v>0</v>
      </c>
      <c r="G150" s="561"/>
      <c r="H150" s="52"/>
      <c r="I150" s="220" t="s">
        <v>102</v>
      </c>
      <c r="J150" s="214">
        <f>IF($J$5='1.Initial Parameters'!$D$3,'2. Input Data On-Premise '!F150,'2. Input Data On-Premise '!F150/(1+$K$4))</f>
        <v>0</v>
      </c>
      <c r="K150" s="215">
        <f>IF($K$5='1.Initial Parameters'!$D$3,'2. Input Data On-Premise '!F150,'2. Input Data On-Premise '!F150*(1+$K$4))</f>
        <v>0</v>
      </c>
      <c r="L150" s="216">
        <f>IF($L$166=$J$166,J150,K150)</f>
        <v>0</v>
      </c>
      <c r="N150" s="210" t="s">
        <v>30</v>
      </c>
    </row>
    <row r="151" spans="2:15" ht="15" thickBot="1" x14ac:dyDescent="0.35">
      <c r="B151" s="563" t="s">
        <v>413</v>
      </c>
      <c r="C151" s="544"/>
      <c r="D151" s="544"/>
      <c r="E151" s="544"/>
      <c r="F151" s="662">
        <f>IF($J$166='1.Initial Parameters'!$D$3,J151,K151)</f>
        <v>0</v>
      </c>
      <c r="G151" s="564" t="str">
        <f>_xlfn.CONCAT(JenotkaMěny," total/year")</f>
        <v>EURO total/year</v>
      </c>
      <c r="H151" s="52"/>
      <c r="I151" s="202" t="s">
        <v>230</v>
      </c>
      <c r="J151" s="258">
        <f>SUM(J133:J150)</f>
        <v>0</v>
      </c>
      <c r="K151" s="259">
        <f>SUM(K133:K150)</f>
        <v>0</v>
      </c>
      <c r="L151" s="260">
        <f>SUM(L133:L150)</f>
        <v>0</v>
      </c>
      <c r="N151" s="210" t="s">
        <v>30</v>
      </c>
    </row>
    <row r="152" spans="2:15" ht="15.6" thickTop="1" thickBot="1" x14ac:dyDescent="0.35">
      <c r="B152" s="570"/>
      <c r="C152" s="571"/>
      <c r="D152" s="571"/>
      <c r="E152" s="571"/>
      <c r="F152" s="572"/>
      <c r="G152" s="571"/>
      <c r="H152" s="52"/>
      <c r="N152" s="210" t="s">
        <v>30</v>
      </c>
    </row>
    <row r="153" spans="2:15" ht="15" thickBot="1" x14ac:dyDescent="0.35">
      <c r="B153" s="458" t="s">
        <v>414</v>
      </c>
      <c r="C153" s="459"/>
      <c r="D153" s="459"/>
      <c r="E153" s="459"/>
      <c r="F153" s="567"/>
      <c r="G153" s="461"/>
      <c r="H153" s="52"/>
      <c r="N153" s="210" t="s">
        <v>30</v>
      </c>
    </row>
    <row r="154" spans="2:15" x14ac:dyDescent="0.3">
      <c r="B154" s="134"/>
      <c r="C154" s="137" t="s">
        <v>5</v>
      </c>
      <c r="D154" s="558" t="s">
        <v>88</v>
      </c>
      <c r="E154" s="137" t="s">
        <v>89</v>
      </c>
      <c r="F154" s="135" t="s">
        <v>13</v>
      </c>
      <c r="G154" s="559" t="s">
        <v>3</v>
      </c>
      <c r="H154" s="52"/>
      <c r="J154" s="211" t="s">
        <v>16</v>
      </c>
      <c r="K154" s="212" t="s">
        <v>17</v>
      </c>
      <c r="L154" s="213" t="str">
        <f>'4.TCO Calculation &amp; Comparsion'!$J$3</f>
        <v>VAT included</v>
      </c>
      <c r="N154" s="210" t="s">
        <v>30</v>
      </c>
    </row>
    <row r="155" spans="2:15" ht="24.75" customHeight="1" x14ac:dyDescent="0.3">
      <c r="B155" s="560" t="s">
        <v>415</v>
      </c>
      <c r="C155" s="123" t="str">
        <f>'1.Initial Parameters'!$D$27</f>
        <v>Hour/year</v>
      </c>
      <c r="D155" s="500">
        <v>2</v>
      </c>
      <c r="E155" s="501">
        <f>VLOOKUP(D155,'1.Initial Parameters'!$D$44:$E$46,2,FALSE)</f>
        <v>657</v>
      </c>
      <c r="F155" s="568">
        <v>0</v>
      </c>
      <c r="G155" s="561"/>
      <c r="H155" s="52"/>
      <c r="I155" s="220" t="s">
        <v>108</v>
      </c>
      <c r="J155" s="214">
        <f>E155*F155</f>
        <v>0</v>
      </c>
      <c r="K155" s="215">
        <f>E155*F155</f>
        <v>0</v>
      </c>
      <c r="L155" s="216">
        <f>IF($L$4=$J$4,J155,K155)</f>
        <v>0</v>
      </c>
      <c r="N155" s="210" t="s">
        <v>104</v>
      </c>
    </row>
    <row r="156" spans="2:15" x14ac:dyDescent="0.3">
      <c r="B156" s="560" t="s">
        <v>416</v>
      </c>
      <c r="C156" s="123" t="str">
        <f>'1.Initial Parameters'!$D$27</f>
        <v>Hour/year</v>
      </c>
      <c r="D156" s="500">
        <v>1</v>
      </c>
      <c r="E156" s="501">
        <f>VLOOKUP(D156,'1.Initial Parameters'!$D$44:$E$46,2,FALSE)</f>
        <v>654</v>
      </c>
      <c r="F156" s="568">
        <v>0</v>
      </c>
      <c r="G156" s="561" t="s">
        <v>423</v>
      </c>
      <c r="H156" s="52"/>
      <c r="I156" s="245" t="s">
        <v>108</v>
      </c>
      <c r="J156" s="214">
        <f t="shared" ref="J156" si="14">E156*F156</f>
        <v>0</v>
      </c>
      <c r="K156" s="215">
        <f t="shared" ref="K156" si="15">E156*F156</f>
        <v>0</v>
      </c>
      <c r="L156" s="216">
        <f t="shared" ref="L156" si="16">IF($L$4=$J$4,J156,K156)</f>
        <v>0</v>
      </c>
      <c r="N156" s="210" t="s">
        <v>104</v>
      </c>
    </row>
    <row r="157" spans="2:15" x14ac:dyDescent="0.3">
      <c r="B157" s="573" t="s">
        <v>417</v>
      </c>
      <c r="C157" s="123" t="str">
        <f>'1.Initial Parameters'!$D$27</f>
        <v>Hour/year</v>
      </c>
      <c r="D157" s="500">
        <v>3</v>
      </c>
      <c r="E157" s="501">
        <f>VLOOKUP(D157,'1.Initial Parameters'!$D$44:$E$46,2,FALSE)</f>
        <v>709</v>
      </c>
      <c r="F157" s="568">
        <v>0</v>
      </c>
      <c r="G157" s="561"/>
      <c r="H157" s="52"/>
      <c r="I157" s="245" t="s">
        <v>108</v>
      </c>
      <c r="J157" s="214">
        <f t="shared" ref="J157" si="17">E157*F157</f>
        <v>0</v>
      </c>
      <c r="K157" s="215">
        <f t="shared" ref="K157" si="18">E157*F157</f>
        <v>0</v>
      </c>
      <c r="L157" s="216">
        <f t="shared" ref="L157" si="19">IF($L$4=$J$4,J157,K157)</f>
        <v>0</v>
      </c>
      <c r="N157" s="210" t="s">
        <v>104</v>
      </c>
    </row>
    <row r="158" spans="2:15" x14ac:dyDescent="0.3">
      <c r="B158" s="573" t="s">
        <v>418</v>
      </c>
      <c r="C158" s="123" t="str">
        <f>'1.Initial Parameters'!$D$25</f>
        <v>EURO/year</v>
      </c>
      <c r="D158" s="562"/>
      <c r="E158" s="501"/>
      <c r="F158" s="574">
        <v>0</v>
      </c>
      <c r="G158" s="561" t="s">
        <v>424</v>
      </c>
      <c r="H158" s="52"/>
      <c r="I158" s="245" t="s">
        <v>109</v>
      </c>
      <c r="J158" s="222">
        <f>IF($J$5='1.Initial Parameters'!$D$3,'2. Input Data On-Premise '!F158,'2. Input Data On-Premise '!F158/(1+$K$4))</f>
        <v>0</v>
      </c>
      <c r="K158" s="223">
        <f>IF($K$5='1.Initial Parameters'!$D$3,'2. Input Data On-Premise '!F158,'2. Input Data On-Premise '!F158*(1+$K$4))</f>
        <v>0</v>
      </c>
      <c r="L158" s="224">
        <f>IF($L$166=$J$166,J158,K158)</f>
        <v>0</v>
      </c>
      <c r="N158" s="210" t="s">
        <v>30</v>
      </c>
    </row>
    <row r="159" spans="2:15" x14ac:dyDescent="0.3">
      <c r="B159" s="573" t="s">
        <v>419</v>
      </c>
      <c r="C159" s="123" t="str">
        <f>'1.Initial Parameters'!$D$25</f>
        <v>EURO/year</v>
      </c>
      <c r="D159" s="562"/>
      <c r="E159" s="501"/>
      <c r="F159" s="48">
        <v>0</v>
      </c>
      <c r="G159" s="561" t="s">
        <v>425</v>
      </c>
      <c r="H159" s="52"/>
      <c r="I159" s="257" t="s">
        <v>110</v>
      </c>
      <c r="J159" s="261">
        <f>IF($J$5='1.Initial Parameters'!$D$3,'2. Input Data On-Premise '!F159,'2. Input Data On-Premise '!F159/(1+$K$4))</f>
        <v>0</v>
      </c>
      <c r="K159" s="262">
        <f>IF($K$5='1.Initial Parameters'!$D$3,'2. Input Data On-Premise '!F159,'2. Input Data On-Premise '!F159*(1+$K$4))</f>
        <v>0</v>
      </c>
      <c r="L159" s="263">
        <f t="shared" ref="L159" si="20">IF($L$166=$J$166,J159,K159)</f>
        <v>0</v>
      </c>
      <c r="N159" s="210" t="s">
        <v>30</v>
      </c>
    </row>
    <row r="160" spans="2:15" x14ac:dyDescent="0.3">
      <c r="B160" s="575" t="s">
        <v>420</v>
      </c>
      <c r="C160" s="576"/>
      <c r="D160" s="576"/>
      <c r="E160" s="576"/>
      <c r="F160" s="313">
        <f>$E155*F155+$E156*F156+$E157*F157</f>
        <v>0</v>
      </c>
      <c r="G160" s="576" t="s">
        <v>421</v>
      </c>
      <c r="H160" s="52"/>
      <c r="I160" s="264" t="s">
        <v>111</v>
      </c>
      <c r="J160" s="214">
        <f>SUM(J155:J157)</f>
        <v>0</v>
      </c>
      <c r="K160" s="215">
        <f>SUM(K155:K157)</f>
        <v>0</v>
      </c>
      <c r="L160" s="216">
        <f>SUM(L155:L157)</f>
        <v>0</v>
      </c>
      <c r="N160" s="210" t="s">
        <v>30</v>
      </c>
    </row>
    <row r="161" spans="2:15" ht="15" thickBot="1" x14ac:dyDescent="0.35">
      <c r="B161" s="577" t="str">
        <f>_xlfn.CONCAT("Total KB in ",JenotkaMěny," per year")</f>
        <v>Total KB in EURO per year</v>
      </c>
      <c r="C161" s="578"/>
      <c r="D161" s="578"/>
      <c r="E161" s="578"/>
      <c r="F161" s="663">
        <f>IF($J$166='1.Initial Parameters'!$D$3,J161,K161)</f>
        <v>0</v>
      </c>
      <c r="G161" s="578" t="s">
        <v>422</v>
      </c>
      <c r="H161" s="52"/>
      <c r="I161" s="221" t="s">
        <v>111</v>
      </c>
      <c r="J161" s="217">
        <f>SUM(J155:J159)</f>
        <v>0</v>
      </c>
      <c r="K161" s="218">
        <f>SUM(K155:K159)</f>
        <v>0</v>
      </c>
      <c r="L161" s="219">
        <f>SUM(L155:L159)</f>
        <v>0</v>
      </c>
      <c r="N161" s="210" t="s">
        <v>30</v>
      </c>
    </row>
    <row r="162" spans="2:15" ht="15" thickTop="1" x14ac:dyDescent="0.3">
      <c r="B162" s="450"/>
      <c r="C162" s="450"/>
      <c r="D162" s="450"/>
      <c r="E162" s="450"/>
      <c r="F162" s="450"/>
      <c r="G162" s="517"/>
      <c r="H162" s="52"/>
      <c r="N162" s="210" t="s">
        <v>30</v>
      </c>
    </row>
    <row r="163" spans="2:15" ht="20.399999999999999" x14ac:dyDescent="0.3">
      <c r="B163" s="454" t="s">
        <v>423</v>
      </c>
      <c r="C163" s="450"/>
      <c r="D163" s="450"/>
      <c r="E163" s="450"/>
      <c r="F163" s="450"/>
      <c r="G163" s="451"/>
      <c r="H163" s="52"/>
      <c r="L163" s="265" t="s">
        <v>298</v>
      </c>
      <c r="N163" s="210" t="s">
        <v>30</v>
      </c>
    </row>
    <row r="164" spans="2:15" ht="8.25" customHeight="1" thickBot="1" x14ac:dyDescent="0.35">
      <c r="B164" s="450"/>
      <c r="C164" s="450"/>
      <c r="D164" s="450"/>
      <c r="E164" s="450"/>
      <c r="F164" s="450"/>
      <c r="G164" s="451"/>
      <c r="H164" s="52"/>
      <c r="N164" s="210" t="s">
        <v>30</v>
      </c>
    </row>
    <row r="165" spans="2:15" ht="19.8" thickBot="1" x14ac:dyDescent="0.35">
      <c r="B165" s="458" t="s">
        <v>426</v>
      </c>
      <c r="C165" s="459"/>
      <c r="D165" s="459"/>
      <c r="E165" s="459"/>
      <c r="F165" s="460"/>
      <c r="G165" s="461"/>
      <c r="H165" s="52"/>
      <c r="J165" s="207" t="s">
        <v>237</v>
      </c>
      <c r="K165" s="266">
        <f>'1.Initial Parameters'!$D$5</f>
        <v>0.21</v>
      </c>
      <c r="L165" s="267" t="s">
        <v>299</v>
      </c>
      <c r="N165" s="210" t="s">
        <v>30</v>
      </c>
    </row>
    <row r="166" spans="2:15" ht="27.6" x14ac:dyDescent="0.3">
      <c r="B166" s="463" t="s">
        <v>427</v>
      </c>
      <c r="C166" s="134" t="s">
        <v>260</v>
      </c>
      <c r="D166" s="558" t="s">
        <v>88</v>
      </c>
      <c r="E166" s="137" t="s">
        <v>394</v>
      </c>
      <c r="F166" s="135" t="s">
        <v>291</v>
      </c>
      <c r="G166" s="559" t="s">
        <v>251</v>
      </c>
      <c r="H166" s="52"/>
      <c r="J166" s="211" t="s">
        <v>16</v>
      </c>
      <c r="K166" s="212" t="s">
        <v>17</v>
      </c>
      <c r="L166" s="213" t="str">
        <f>'4.TCO Calculation &amp; Comparsion'!$J$3</f>
        <v>VAT included</v>
      </c>
      <c r="N166" s="210" t="s">
        <v>30</v>
      </c>
    </row>
    <row r="167" spans="2:15" x14ac:dyDescent="0.3">
      <c r="B167" s="123" t="s">
        <v>428</v>
      </c>
      <c r="C167" s="499" t="str">
        <f>'1.Initial Parameters'!$D$35</f>
        <v>Hour</v>
      </c>
      <c r="D167" s="500">
        <v>2</v>
      </c>
      <c r="E167" s="501">
        <f>VLOOKUP(D167,'1.Initial Parameters'!$D$44:$E$46,2,FALSE)</f>
        <v>657</v>
      </c>
      <c r="F167" s="579">
        <v>0</v>
      </c>
      <c r="G167" s="503"/>
      <c r="H167" s="52"/>
      <c r="I167" s="220" t="s">
        <v>112</v>
      </c>
      <c r="J167" s="214">
        <f>E167*F167</f>
        <v>0</v>
      </c>
      <c r="K167" s="215">
        <f>E167*F167</f>
        <v>0</v>
      </c>
      <c r="L167" s="216">
        <f>IF($L$166=$J$166,J167,K167)</f>
        <v>0</v>
      </c>
      <c r="N167" s="210" t="s">
        <v>49</v>
      </c>
      <c r="O167" s="26" t="s">
        <v>113</v>
      </c>
    </row>
    <row r="168" spans="2:15" x14ac:dyDescent="0.3">
      <c r="B168" s="123" t="s">
        <v>429</v>
      </c>
      <c r="C168" s="499" t="str">
        <f>JenotkaMěny</f>
        <v>EURO</v>
      </c>
      <c r="D168" s="499"/>
      <c r="E168" s="499"/>
      <c r="F168" s="48">
        <v>0</v>
      </c>
      <c r="G168" s="503"/>
      <c r="H168" s="52"/>
      <c r="I168" s="220" t="s">
        <v>112</v>
      </c>
      <c r="J168" s="214">
        <f>IF($J$166='1.Initial Parameters'!$D$3,'2. Input Data On-Premise '!F168,'2. Input Data On-Premise '!F168/(1+$K$165))</f>
        <v>0</v>
      </c>
      <c r="K168" s="215">
        <f>IF($K$166='1.Initial Parameters'!$D$3,'2. Input Data On-Premise '!F168,'2. Input Data On-Premise '!F168*(1+$K$165))</f>
        <v>0</v>
      </c>
      <c r="L168" s="216">
        <f t="shared" ref="L168:L170" si="21">IF($L$166=$J$166,J168,K168)</f>
        <v>0</v>
      </c>
      <c r="N168" s="210" t="s">
        <v>30</v>
      </c>
    </row>
    <row r="169" spans="2:15" x14ac:dyDescent="0.3">
      <c r="B169" s="123" t="s">
        <v>430</v>
      </c>
      <c r="C169" s="499" t="str">
        <f>'1.Initial Parameters'!$D$35</f>
        <v>Hour</v>
      </c>
      <c r="D169" s="500">
        <v>1</v>
      </c>
      <c r="E169" s="501">
        <f>VLOOKUP(D169,'1.Initial Parameters'!$D$44:$E$46,2,FALSE)</f>
        <v>654</v>
      </c>
      <c r="F169" s="579">
        <v>0</v>
      </c>
      <c r="G169" s="503"/>
      <c r="H169" s="52"/>
      <c r="I169" s="220" t="s">
        <v>114</v>
      </c>
      <c r="J169" s="214">
        <f>E169*F169</f>
        <v>0</v>
      </c>
      <c r="K169" s="215">
        <f>E169*F169</f>
        <v>0</v>
      </c>
      <c r="L169" s="216">
        <f t="shared" si="21"/>
        <v>0</v>
      </c>
      <c r="N169" s="210" t="s">
        <v>49</v>
      </c>
      <c r="O169" s="26" t="s">
        <v>113</v>
      </c>
    </row>
    <row r="170" spans="2:15" ht="15" thickBot="1" x14ac:dyDescent="0.35">
      <c r="B170" s="580" t="s">
        <v>431</v>
      </c>
      <c r="C170" s="499" t="str">
        <f>JenotkaMěny</f>
        <v>EURO</v>
      </c>
      <c r="D170" s="569"/>
      <c r="E170" s="569"/>
      <c r="F170" s="48">
        <v>0</v>
      </c>
      <c r="G170" s="581"/>
      <c r="H170" s="52"/>
      <c r="I170" s="220" t="s">
        <v>114</v>
      </c>
      <c r="J170" s="217">
        <f>IF($J$166='1.Initial Parameters'!$D$3,'2. Input Data On-Premise '!F170,'2. Input Data On-Premise '!F170/(1+$K$165))</f>
        <v>0</v>
      </c>
      <c r="K170" s="218">
        <f>IF($K$166='1.Initial Parameters'!$D$3,'2. Input Data On-Premise '!F170,'2. Input Data On-Premise '!F170*(1+$K$165))</f>
        <v>0</v>
      </c>
      <c r="L170" s="219">
        <f t="shared" si="21"/>
        <v>0</v>
      </c>
      <c r="N170" s="210" t="s">
        <v>30</v>
      </c>
    </row>
    <row r="171" spans="2:15" ht="15.6" thickTop="1" thickBot="1" x14ac:dyDescent="0.35">
      <c r="B171" s="582" t="s">
        <v>432</v>
      </c>
      <c r="C171" s="583" t="str">
        <f>JenotkaMěny</f>
        <v>EURO</v>
      </c>
      <c r="D171" s="583"/>
      <c r="E171" s="583"/>
      <c r="F171" s="664">
        <f>IF($J$166='1.Initial Parameters'!$D$3,J171,K171)</f>
        <v>0</v>
      </c>
      <c r="G171" s="583" t="s">
        <v>115</v>
      </c>
      <c r="H171" s="52"/>
      <c r="J171" s="217">
        <f>SUM(J167:J170)</f>
        <v>0</v>
      </c>
      <c r="K171" s="218">
        <f>SUM(K167:K170)</f>
        <v>0</v>
      </c>
      <c r="L171" s="219">
        <f>SUM(L167:L170)</f>
        <v>0</v>
      </c>
      <c r="N171" s="210" t="s">
        <v>30</v>
      </c>
    </row>
    <row r="172" spans="2:15" ht="28.2" thickTop="1" x14ac:dyDescent="0.3">
      <c r="B172" s="463" t="s">
        <v>427</v>
      </c>
      <c r="C172" s="134" t="s">
        <v>260</v>
      </c>
      <c r="D172" s="462" t="s">
        <v>434</v>
      </c>
      <c r="E172" s="137"/>
      <c r="F172" s="135" t="s">
        <v>291</v>
      </c>
      <c r="G172" s="559" t="s">
        <v>251</v>
      </c>
      <c r="H172" s="52"/>
      <c r="N172" s="210" t="s">
        <v>30</v>
      </c>
    </row>
    <row r="173" spans="2:15" ht="28.2" thickBot="1" x14ac:dyDescent="0.35">
      <c r="B173" s="584" t="s">
        <v>817</v>
      </c>
      <c r="C173" s="585"/>
      <c r="D173" s="294" t="str">
        <f>'1.Initial Parameters'!$D$11</f>
        <v>YES</v>
      </c>
      <c r="E173" s="291"/>
      <c r="F173" s="665"/>
      <c r="G173" s="586" t="s">
        <v>435</v>
      </c>
      <c r="H173" s="52"/>
      <c r="L173" s="265" t="s">
        <v>298</v>
      </c>
      <c r="N173" s="210" t="s">
        <v>30</v>
      </c>
    </row>
    <row r="174" spans="2:15" ht="19.8" thickTop="1" x14ac:dyDescent="0.3">
      <c r="B174" s="454"/>
      <c r="C174" s="499"/>
      <c r="D174" s="499"/>
      <c r="E174" s="499"/>
      <c r="F174" s="587"/>
      <c r="G174" s="555"/>
      <c r="H174" s="52"/>
      <c r="J174" s="207" t="s">
        <v>237</v>
      </c>
      <c r="K174" s="266">
        <f>'1.Initial Parameters'!$D$5</f>
        <v>0.21</v>
      </c>
      <c r="L174" s="267" t="s">
        <v>299</v>
      </c>
      <c r="N174" s="210" t="s">
        <v>30</v>
      </c>
    </row>
    <row r="175" spans="2:15" ht="25.95" customHeight="1" x14ac:dyDescent="0.3">
      <c r="B175" s="463" t="s">
        <v>436</v>
      </c>
      <c r="C175" s="134" t="s">
        <v>260</v>
      </c>
      <c r="D175" s="558" t="s">
        <v>88</v>
      </c>
      <c r="E175" s="137" t="s">
        <v>394</v>
      </c>
      <c r="F175" s="135" t="s">
        <v>291</v>
      </c>
      <c r="G175" s="463" t="s">
        <v>251</v>
      </c>
      <c r="H175" s="52"/>
      <c r="J175" s="211" t="s">
        <v>16</v>
      </c>
      <c r="K175" s="212" t="s">
        <v>17</v>
      </c>
      <c r="L175" s="213" t="str">
        <f>'4.TCO Calculation &amp; Comparsion'!$J$3</f>
        <v>VAT included</v>
      </c>
      <c r="N175" s="210" t="s">
        <v>30</v>
      </c>
    </row>
    <row r="176" spans="2:15" ht="27.6" x14ac:dyDescent="0.3">
      <c r="B176" s="569" t="s">
        <v>437</v>
      </c>
      <c r="C176" s="499" t="str">
        <f>'1.Initial Parameters'!$D$35</f>
        <v>Hour</v>
      </c>
      <c r="D176" s="500">
        <v>1</v>
      </c>
      <c r="E176" s="501">
        <f>VLOOKUP(D176,'1.Initial Parameters'!$D$44:$E$46,2,FALSE)</f>
        <v>654</v>
      </c>
      <c r="F176" s="502">
        <v>0</v>
      </c>
      <c r="G176" s="503"/>
      <c r="H176" s="52"/>
      <c r="I176" s="220" t="s">
        <v>116</v>
      </c>
      <c r="J176" s="214">
        <f>E176*F176</f>
        <v>0</v>
      </c>
      <c r="K176" s="215">
        <f>E176*F176</f>
        <v>0</v>
      </c>
      <c r="L176" s="216">
        <f t="shared" ref="L176:L177" si="22">IF($L$166=$J$166,J176,K176)</f>
        <v>0</v>
      </c>
      <c r="N176" s="210" t="s">
        <v>49</v>
      </c>
    </row>
    <row r="177" spans="2:14" ht="27.6" x14ac:dyDescent="0.3">
      <c r="B177" s="569" t="s">
        <v>437</v>
      </c>
      <c r="C177" s="499" t="str">
        <f>JenotkaMěny</f>
        <v>EURO</v>
      </c>
      <c r="D177" s="569"/>
      <c r="E177" s="569"/>
      <c r="F177" s="48">
        <v>0</v>
      </c>
      <c r="G177" s="503" t="s">
        <v>457</v>
      </c>
      <c r="H177" s="52"/>
      <c r="I177" s="220" t="s">
        <v>116</v>
      </c>
      <c r="J177" s="214">
        <f>IF($J$166='1.Initial Parameters'!$D$3,'2. Input Data On-Premise '!F177,'2. Input Data On-Premise '!F177/(1+$K$165))</f>
        <v>0</v>
      </c>
      <c r="K177" s="215">
        <f>IF($K$166='1.Initial Parameters'!$D$3,'2. Input Data On-Premise '!F177,'2. Input Data On-Premise '!F177*(1+$K$165))</f>
        <v>0</v>
      </c>
      <c r="L177" s="216">
        <f t="shared" si="22"/>
        <v>0</v>
      </c>
      <c r="N177" s="210" t="s">
        <v>30</v>
      </c>
    </row>
    <row r="178" spans="2:14" x14ac:dyDescent="0.3">
      <c r="B178" s="569" t="s">
        <v>438</v>
      </c>
      <c r="C178" s="499" t="str">
        <f>'1.Initial Parameters'!$D$35</f>
        <v>Hour</v>
      </c>
      <c r="D178" s="500">
        <v>2</v>
      </c>
      <c r="E178" s="501">
        <f>VLOOKUP(D178,'1.Initial Parameters'!$D$44:$E$46,2,FALSE)</f>
        <v>657</v>
      </c>
      <c r="F178" s="502">
        <v>0</v>
      </c>
      <c r="G178" s="503"/>
      <c r="H178" s="52"/>
      <c r="I178" s="220" t="s">
        <v>118</v>
      </c>
      <c r="J178" s="214">
        <f>E178*F178</f>
        <v>0</v>
      </c>
      <c r="K178" s="215">
        <f>E178*F178</f>
        <v>0</v>
      </c>
      <c r="L178" s="216">
        <f>IF($L$166=$J$166,J178,K178)</f>
        <v>0</v>
      </c>
      <c r="N178" s="210" t="s">
        <v>49</v>
      </c>
    </row>
    <row r="179" spans="2:14" x14ac:dyDescent="0.3">
      <c r="B179" s="569" t="s">
        <v>438</v>
      </c>
      <c r="C179" s="499" t="str">
        <f>JenotkaMěny</f>
        <v>EURO</v>
      </c>
      <c r="D179" s="569"/>
      <c r="E179" s="569"/>
      <c r="F179" s="48">
        <v>0</v>
      </c>
      <c r="G179" s="503" t="s">
        <v>457</v>
      </c>
      <c r="H179" s="52"/>
      <c r="I179" s="220" t="s">
        <v>118</v>
      </c>
      <c r="J179" s="214">
        <f>IF($J$166='1.Initial Parameters'!$D$3,'2. Input Data On-Premise '!F179,'2. Input Data On-Premise '!F179/(1+$K$165))</f>
        <v>0</v>
      </c>
      <c r="K179" s="215">
        <f>IF($K$166='1.Initial Parameters'!$D$3,'2. Input Data On-Premise '!F179,'2. Input Data On-Premise '!F179*(1+$K$165))</f>
        <v>0</v>
      </c>
      <c r="L179" s="216">
        <f t="shared" ref="L179" si="23">IF($L$166=$J$166,J179,K179)</f>
        <v>0</v>
      </c>
      <c r="N179" s="210" t="s">
        <v>30</v>
      </c>
    </row>
    <row r="180" spans="2:14" x14ac:dyDescent="0.3">
      <c r="B180" s="569" t="s">
        <v>439</v>
      </c>
      <c r="C180" s="499" t="str">
        <f>'1.Initial Parameters'!$D$35</f>
        <v>Hour</v>
      </c>
      <c r="D180" s="500">
        <v>1</v>
      </c>
      <c r="E180" s="501">
        <f>VLOOKUP(D180,'1.Initial Parameters'!$D$44:$E$46,2,FALSE)</f>
        <v>654</v>
      </c>
      <c r="F180" s="502">
        <v>0</v>
      </c>
      <c r="G180" s="503"/>
      <c r="H180" s="52"/>
      <c r="I180" s="220" t="s">
        <v>117</v>
      </c>
      <c r="J180" s="214">
        <f t="shared" ref="J180:J202" si="24">E180*F180</f>
        <v>0</v>
      </c>
      <c r="K180" s="215">
        <f t="shared" ref="K180:K202" si="25">E180*F180</f>
        <v>0</v>
      </c>
      <c r="L180" s="216">
        <f t="shared" ref="L180:L205" si="26">IF($L$166=$J$166,J180,K180)</f>
        <v>0</v>
      </c>
      <c r="N180" s="210" t="s">
        <v>49</v>
      </c>
    </row>
    <row r="181" spans="2:14" x14ac:dyDescent="0.3">
      <c r="B181" s="569" t="s">
        <v>439</v>
      </c>
      <c r="C181" s="499" t="str">
        <f>JenotkaMěny</f>
        <v>EURO</v>
      </c>
      <c r="D181" s="569"/>
      <c r="E181" s="569"/>
      <c r="F181" s="48">
        <v>0</v>
      </c>
      <c r="G181" s="503" t="s">
        <v>457</v>
      </c>
      <c r="H181" s="52"/>
      <c r="I181" s="220" t="s">
        <v>117</v>
      </c>
      <c r="J181" s="214">
        <f>IF($J$166='1.Initial Parameters'!$D$3,'2. Input Data On-Premise '!F181,'2. Input Data On-Premise '!F181/(1+$K$165))</f>
        <v>0</v>
      </c>
      <c r="K181" s="215">
        <f>IF($K$166='1.Initial Parameters'!$D$3,'2. Input Data On-Premise '!F181,'2. Input Data On-Premise '!F181*(1+$K$165))</f>
        <v>0</v>
      </c>
      <c r="L181" s="216">
        <f t="shared" si="26"/>
        <v>0</v>
      </c>
      <c r="N181" s="210" t="s">
        <v>30</v>
      </c>
    </row>
    <row r="182" spans="2:14" ht="27.6" x14ac:dyDescent="0.3">
      <c r="B182" s="569" t="s">
        <v>440</v>
      </c>
      <c r="C182" s="499" t="str">
        <f>'1.Initial Parameters'!$D$35</f>
        <v>Hour</v>
      </c>
      <c r="D182" s="500">
        <v>3</v>
      </c>
      <c r="E182" s="501">
        <f>VLOOKUP(D182,'1.Initial Parameters'!$D$44:$E$46,2,FALSE)</f>
        <v>709</v>
      </c>
      <c r="F182" s="502">
        <v>0</v>
      </c>
      <c r="G182" s="503"/>
      <c r="H182" s="52"/>
      <c r="I182" s="220" t="s">
        <v>117</v>
      </c>
      <c r="J182" s="214">
        <f t="shared" si="24"/>
        <v>0</v>
      </c>
      <c r="K182" s="215">
        <f t="shared" si="25"/>
        <v>0</v>
      </c>
      <c r="L182" s="216">
        <f t="shared" si="26"/>
        <v>0</v>
      </c>
      <c r="N182" s="210" t="s">
        <v>49</v>
      </c>
    </row>
    <row r="183" spans="2:14" ht="27.6" x14ac:dyDescent="0.3">
      <c r="B183" s="569" t="s">
        <v>440</v>
      </c>
      <c r="C183" s="499" t="str">
        <f>JenotkaMěny</f>
        <v>EURO</v>
      </c>
      <c r="D183" s="569"/>
      <c r="E183" s="569"/>
      <c r="F183" s="48">
        <v>0</v>
      </c>
      <c r="G183" s="503" t="s">
        <v>457</v>
      </c>
      <c r="H183" s="52"/>
      <c r="I183" s="220" t="s">
        <v>117</v>
      </c>
      <c r="J183" s="214">
        <f>IF($J$166='1.Initial Parameters'!$D$3,'2. Input Data On-Premise '!F183,'2. Input Data On-Premise '!F183/(1+$K$165))</f>
        <v>0</v>
      </c>
      <c r="K183" s="215">
        <f>IF($K$166='1.Initial Parameters'!$D$3,'2. Input Data On-Premise '!F183,'2. Input Data On-Premise '!F183*(1+$K$165))</f>
        <v>0</v>
      </c>
      <c r="L183" s="216">
        <f t="shared" si="26"/>
        <v>0</v>
      </c>
      <c r="N183" s="210" t="s">
        <v>30</v>
      </c>
    </row>
    <row r="184" spans="2:14" x14ac:dyDescent="0.3">
      <c r="B184" s="569" t="s">
        <v>441</v>
      </c>
      <c r="C184" s="499" t="str">
        <f>'1.Initial Parameters'!$D$35</f>
        <v>Hour</v>
      </c>
      <c r="D184" s="500">
        <v>3</v>
      </c>
      <c r="E184" s="501">
        <f>VLOOKUP(D184,'1.Initial Parameters'!$D$44:$E$46,2,FALSE)</f>
        <v>709</v>
      </c>
      <c r="F184" s="502">
        <v>0</v>
      </c>
      <c r="G184" s="503"/>
      <c r="H184" s="52"/>
      <c r="I184" s="220" t="s">
        <v>119</v>
      </c>
      <c r="J184" s="214">
        <f t="shared" si="24"/>
        <v>0</v>
      </c>
      <c r="K184" s="215">
        <f t="shared" si="25"/>
        <v>0</v>
      </c>
      <c r="L184" s="216">
        <f t="shared" si="26"/>
        <v>0</v>
      </c>
      <c r="N184" s="210" t="s">
        <v>49</v>
      </c>
    </row>
    <row r="185" spans="2:14" x14ac:dyDescent="0.3">
      <c r="B185" s="569" t="s">
        <v>441</v>
      </c>
      <c r="C185" s="499" t="str">
        <f>JenotkaMěny</f>
        <v>EURO</v>
      </c>
      <c r="D185" s="569"/>
      <c r="E185" s="569"/>
      <c r="F185" s="48">
        <v>0</v>
      </c>
      <c r="G185" s="503" t="s">
        <v>457</v>
      </c>
      <c r="H185" s="52"/>
      <c r="I185" s="220" t="s">
        <v>119</v>
      </c>
      <c r="J185" s="214">
        <f>IF($J$166='1.Initial Parameters'!$D$3,'2. Input Data On-Premise '!F185,'2. Input Data On-Premise '!F185/(1+$K$165))</f>
        <v>0</v>
      </c>
      <c r="K185" s="215">
        <f>IF($K$166='1.Initial Parameters'!$D$3,'2. Input Data On-Premise '!F185,'2. Input Data On-Premise '!F185*(1+$K$165))</f>
        <v>0</v>
      </c>
      <c r="L185" s="216">
        <f t="shared" ref="L185" si="27">IF($L$166=$J$166,J185,K185)</f>
        <v>0</v>
      </c>
      <c r="N185" s="210" t="s">
        <v>30</v>
      </c>
    </row>
    <row r="186" spans="2:14" x14ac:dyDescent="0.3">
      <c r="B186" s="569" t="s">
        <v>442</v>
      </c>
      <c r="C186" s="499" t="str">
        <f>'1.Initial Parameters'!$D$35</f>
        <v>Hour</v>
      </c>
      <c r="D186" s="500">
        <v>3</v>
      </c>
      <c r="E186" s="501">
        <f>VLOOKUP(D186,'1.Initial Parameters'!$D$44:$E$46,2,FALSE)</f>
        <v>709</v>
      </c>
      <c r="F186" s="502">
        <v>0</v>
      </c>
      <c r="G186" s="503"/>
      <c r="H186" s="52"/>
      <c r="I186" s="245" t="s">
        <v>119</v>
      </c>
      <c r="J186" s="214">
        <f t="shared" si="24"/>
        <v>0</v>
      </c>
      <c r="K186" s="215">
        <f t="shared" si="25"/>
        <v>0</v>
      </c>
      <c r="L186" s="216">
        <f t="shared" si="26"/>
        <v>0</v>
      </c>
      <c r="N186" s="210" t="s">
        <v>49</v>
      </c>
    </row>
    <row r="187" spans="2:14" x14ac:dyDescent="0.3">
      <c r="B187" s="569" t="s">
        <v>443</v>
      </c>
      <c r="C187" s="499" t="str">
        <f>JenotkaMěny</f>
        <v>EURO</v>
      </c>
      <c r="D187" s="569"/>
      <c r="E187" s="569"/>
      <c r="F187" s="48">
        <v>0</v>
      </c>
      <c r="G187" s="503" t="s">
        <v>457</v>
      </c>
      <c r="H187" s="52"/>
      <c r="I187" s="220" t="s">
        <v>119</v>
      </c>
      <c r="J187" s="214">
        <f>IF($J$166='1.Initial Parameters'!$D$3,'2. Input Data On-Premise '!F187,'2. Input Data On-Premise '!F187/(1+$K$165))</f>
        <v>0</v>
      </c>
      <c r="K187" s="215">
        <f>IF($K$166='1.Initial Parameters'!$D$3,'2. Input Data On-Premise '!F187,'2. Input Data On-Premise '!F187*(1+$K$165))</f>
        <v>0</v>
      </c>
      <c r="L187" s="216">
        <f t="shared" ref="L187" si="28">IF($L$166=$J$166,J187,K187)</f>
        <v>0</v>
      </c>
      <c r="N187" s="210" t="s">
        <v>30</v>
      </c>
    </row>
    <row r="188" spans="2:14" ht="27.6" x14ac:dyDescent="0.3">
      <c r="B188" s="569" t="s">
        <v>444</v>
      </c>
      <c r="C188" s="499" t="str">
        <f>'1.Initial Parameters'!$D$35</f>
        <v>Hour</v>
      </c>
      <c r="D188" s="500">
        <v>2</v>
      </c>
      <c r="E188" s="501">
        <f>VLOOKUP(D188,'1.Initial Parameters'!$D$44:$E$46,2,FALSE)</f>
        <v>657</v>
      </c>
      <c r="F188" s="502">
        <v>0</v>
      </c>
      <c r="G188" s="503"/>
      <c r="H188" s="52"/>
      <c r="I188" s="220" t="s">
        <v>120</v>
      </c>
      <c r="J188" s="214">
        <f t="shared" si="24"/>
        <v>0</v>
      </c>
      <c r="K188" s="215">
        <f t="shared" si="25"/>
        <v>0</v>
      </c>
      <c r="L188" s="216">
        <f t="shared" si="26"/>
        <v>0</v>
      </c>
      <c r="N188" s="210" t="s">
        <v>49</v>
      </c>
    </row>
    <row r="189" spans="2:14" ht="27.6" x14ac:dyDescent="0.3">
      <c r="B189" s="569" t="s">
        <v>444</v>
      </c>
      <c r="C189" s="499" t="str">
        <f>JenotkaMěny</f>
        <v>EURO</v>
      </c>
      <c r="D189" s="569"/>
      <c r="E189" s="569"/>
      <c r="F189" s="48">
        <v>0</v>
      </c>
      <c r="G189" s="503" t="s">
        <v>457</v>
      </c>
      <c r="H189" s="52"/>
      <c r="I189" s="220" t="s">
        <v>120</v>
      </c>
      <c r="J189" s="214">
        <f>IF($J$166='1.Initial Parameters'!$D$3,'2. Input Data On-Premise '!F189,'2. Input Data On-Premise '!F189/(1+$K$165))</f>
        <v>0</v>
      </c>
      <c r="K189" s="215">
        <f>IF($K$166='1.Initial Parameters'!$D$3,'2. Input Data On-Premise '!F189,'2. Input Data On-Premise '!F189*(1+$K$165))</f>
        <v>0</v>
      </c>
      <c r="L189" s="216">
        <f t="shared" si="26"/>
        <v>0</v>
      </c>
      <c r="N189" s="210" t="s">
        <v>30</v>
      </c>
    </row>
    <row r="190" spans="2:14" x14ac:dyDescent="0.3">
      <c r="B190" s="569" t="s">
        <v>445</v>
      </c>
      <c r="C190" s="499" t="str">
        <f>'1.Initial Parameters'!$D$35</f>
        <v>Hour</v>
      </c>
      <c r="D190" s="500">
        <v>2</v>
      </c>
      <c r="E190" s="501">
        <f>VLOOKUP(D190,'1.Initial Parameters'!$D$44:$E$46,2,FALSE)</f>
        <v>657</v>
      </c>
      <c r="F190" s="502">
        <v>0</v>
      </c>
      <c r="G190" s="503"/>
      <c r="H190" s="52"/>
      <c r="I190" s="220" t="s">
        <v>121</v>
      </c>
      <c r="J190" s="214">
        <f t="shared" si="24"/>
        <v>0</v>
      </c>
      <c r="K190" s="215">
        <f t="shared" si="25"/>
        <v>0</v>
      </c>
      <c r="L190" s="216">
        <f t="shared" si="26"/>
        <v>0</v>
      </c>
      <c r="N190" s="210" t="s">
        <v>49</v>
      </c>
    </row>
    <row r="191" spans="2:14" x14ac:dyDescent="0.3">
      <c r="B191" s="569" t="s">
        <v>445</v>
      </c>
      <c r="C191" s="499" t="str">
        <f>JenotkaMěny</f>
        <v>EURO</v>
      </c>
      <c r="D191" s="569"/>
      <c r="E191" s="569"/>
      <c r="F191" s="48">
        <v>0</v>
      </c>
      <c r="G191" s="503" t="s">
        <v>457</v>
      </c>
      <c r="H191" s="52"/>
      <c r="I191" s="220" t="s">
        <v>121</v>
      </c>
      <c r="J191" s="214">
        <f>IF($J$166='1.Initial Parameters'!$D$3,'2. Input Data On-Premise '!F191,'2. Input Data On-Premise '!F191/(1+$K$165))</f>
        <v>0</v>
      </c>
      <c r="K191" s="215">
        <f>IF($K$166='1.Initial Parameters'!$D$3,'2. Input Data On-Premise '!F191,'2. Input Data On-Premise '!F191*(1+$K$165))</f>
        <v>0</v>
      </c>
      <c r="L191" s="216">
        <f t="shared" ref="L191" si="29">IF($L$166=$J$166,J191,K191)</f>
        <v>0</v>
      </c>
      <c r="N191" s="210" t="s">
        <v>30</v>
      </c>
    </row>
    <row r="192" spans="2:14" ht="27.6" x14ac:dyDescent="0.3">
      <c r="B192" s="569" t="s">
        <v>446</v>
      </c>
      <c r="C192" s="499" t="str">
        <f>'1.Initial Parameters'!$D$35</f>
        <v>Hour</v>
      </c>
      <c r="D192" s="500">
        <v>2</v>
      </c>
      <c r="E192" s="501">
        <f>VLOOKUP(D192,'1.Initial Parameters'!$D$44:$E$46,2,FALSE)</f>
        <v>657</v>
      </c>
      <c r="F192" s="502">
        <v>0</v>
      </c>
      <c r="G192" s="503"/>
      <c r="H192" s="52"/>
      <c r="I192" s="220" t="s">
        <v>122</v>
      </c>
      <c r="J192" s="214">
        <f t="shared" si="24"/>
        <v>0</v>
      </c>
      <c r="K192" s="215">
        <f t="shared" si="25"/>
        <v>0</v>
      </c>
      <c r="L192" s="216">
        <f t="shared" si="26"/>
        <v>0</v>
      </c>
      <c r="N192" s="210" t="s">
        <v>49</v>
      </c>
    </row>
    <row r="193" spans="1:14" ht="27.6" x14ac:dyDescent="0.3">
      <c r="B193" s="569" t="s">
        <v>446</v>
      </c>
      <c r="C193" s="499" t="str">
        <f>JenotkaMěny</f>
        <v>EURO</v>
      </c>
      <c r="D193" s="569"/>
      <c r="E193" s="569"/>
      <c r="F193" s="48">
        <v>0</v>
      </c>
      <c r="G193" s="503" t="s">
        <v>457</v>
      </c>
      <c r="H193" s="52"/>
      <c r="I193" s="220" t="s">
        <v>122</v>
      </c>
      <c r="J193" s="214">
        <f>IF($J$166='1.Initial Parameters'!$D$3,'2. Input Data On-Premise '!F193,'2. Input Data On-Premise '!F193/(1+$K$165))</f>
        <v>0</v>
      </c>
      <c r="K193" s="215">
        <f>IF($K$166='1.Initial Parameters'!$D$3,'2. Input Data On-Premise '!F193,'2. Input Data On-Premise '!F193*(1+$K$165))</f>
        <v>0</v>
      </c>
      <c r="L193" s="216">
        <f t="shared" ref="L193" si="30">IF($L$166=$J$166,J193,K193)</f>
        <v>0</v>
      </c>
      <c r="N193" s="210" t="s">
        <v>30</v>
      </c>
    </row>
    <row r="194" spans="1:14" x14ac:dyDescent="0.3">
      <c r="B194" s="569" t="s">
        <v>447</v>
      </c>
      <c r="C194" s="499" t="str">
        <f>'1.Initial Parameters'!$D$35</f>
        <v>Hour</v>
      </c>
      <c r="D194" s="500">
        <v>2</v>
      </c>
      <c r="E194" s="501">
        <f>VLOOKUP(D194,'1.Initial Parameters'!$D$44:$E$46,2,FALSE)</f>
        <v>657</v>
      </c>
      <c r="F194" s="502">
        <v>0</v>
      </c>
      <c r="G194" s="503"/>
      <c r="H194" s="52"/>
      <c r="I194" s="220" t="s">
        <v>123</v>
      </c>
      <c r="J194" s="214">
        <f t="shared" si="24"/>
        <v>0</v>
      </c>
      <c r="K194" s="215">
        <f t="shared" si="25"/>
        <v>0</v>
      </c>
      <c r="L194" s="216">
        <f t="shared" si="26"/>
        <v>0</v>
      </c>
      <c r="N194" s="210" t="s">
        <v>49</v>
      </c>
    </row>
    <row r="195" spans="1:14" x14ac:dyDescent="0.3">
      <c r="B195" s="569" t="s">
        <v>447</v>
      </c>
      <c r="C195" s="499" t="str">
        <f>JenotkaMěny</f>
        <v>EURO</v>
      </c>
      <c r="D195" s="569"/>
      <c r="E195" s="569"/>
      <c r="F195" s="48">
        <v>0</v>
      </c>
      <c r="G195" s="503" t="s">
        <v>457</v>
      </c>
      <c r="H195" s="52"/>
      <c r="I195" s="220" t="s">
        <v>123</v>
      </c>
      <c r="J195" s="214">
        <f>IF($J$166='1.Initial Parameters'!$D$3,'2. Input Data On-Premise '!F195,'2. Input Data On-Premise '!F195/(1+$K$165))</f>
        <v>0</v>
      </c>
      <c r="K195" s="215">
        <f>IF($K$166='1.Initial Parameters'!$D$3,'2. Input Data On-Premise '!F195,'2. Input Data On-Premise '!F195*(1+$K$165))</f>
        <v>0</v>
      </c>
      <c r="L195" s="216">
        <f t="shared" ref="L195" si="31">IF($L$166=$J$166,J195,K195)</f>
        <v>0</v>
      </c>
      <c r="N195" s="210" t="s">
        <v>30</v>
      </c>
    </row>
    <row r="196" spans="1:14" x14ac:dyDescent="0.3">
      <c r="B196" s="569" t="s">
        <v>448</v>
      </c>
      <c r="C196" s="499" t="str">
        <f>'1.Initial Parameters'!$D$35</f>
        <v>Hour</v>
      </c>
      <c r="D196" s="500">
        <v>2</v>
      </c>
      <c r="E196" s="501">
        <f>VLOOKUP(D196,'1.Initial Parameters'!$D$44:$E$46,2,FALSE)</f>
        <v>657</v>
      </c>
      <c r="F196" s="502">
        <v>0</v>
      </c>
      <c r="G196" s="503"/>
      <c r="H196" s="52"/>
      <c r="I196" s="220" t="s">
        <v>124</v>
      </c>
      <c r="J196" s="214">
        <f t="shared" si="24"/>
        <v>0</v>
      </c>
      <c r="K196" s="215">
        <f t="shared" si="25"/>
        <v>0</v>
      </c>
      <c r="L196" s="216">
        <f t="shared" si="26"/>
        <v>0</v>
      </c>
      <c r="N196" s="210" t="s">
        <v>49</v>
      </c>
    </row>
    <row r="197" spans="1:14" x14ac:dyDescent="0.3">
      <c r="B197" s="569" t="s">
        <v>448</v>
      </c>
      <c r="C197" s="499" t="str">
        <f>JenotkaMěny</f>
        <v>EURO</v>
      </c>
      <c r="D197" s="569"/>
      <c r="E197" s="569"/>
      <c r="F197" s="48">
        <v>0</v>
      </c>
      <c r="G197" s="503" t="s">
        <v>457</v>
      </c>
      <c r="H197" s="52"/>
      <c r="I197" s="220" t="s">
        <v>124</v>
      </c>
      <c r="J197" s="214">
        <f>IF($J$166='1.Initial Parameters'!$D$3,'2. Input Data On-Premise '!F197,'2. Input Data On-Premise '!F197/(1+$K$165))</f>
        <v>0</v>
      </c>
      <c r="K197" s="215">
        <f>IF($K$166='1.Initial Parameters'!$D$3,'2. Input Data On-Premise '!F197,'2. Input Data On-Premise '!F197*(1+$K$165))</f>
        <v>0</v>
      </c>
      <c r="L197" s="216">
        <f t="shared" ref="L197" si="32">IF($L$166=$J$166,J197,K197)</f>
        <v>0</v>
      </c>
      <c r="N197" s="210" t="s">
        <v>30</v>
      </c>
    </row>
    <row r="198" spans="1:14" x14ac:dyDescent="0.3">
      <c r="B198" s="569" t="s">
        <v>449</v>
      </c>
      <c r="C198" s="499" t="str">
        <f>'1.Initial Parameters'!$D$35</f>
        <v>Hour</v>
      </c>
      <c r="D198" s="500">
        <v>2</v>
      </c>
      <c r="E198" s="501">
        <f>VLOOKUP(D198,'1.Initial Parameters'!$D$44:$E$46,2,FALSE)</f>
        <v>657</v>
      </c>
      <c r="F198" s="502">
        <v>0</v>
      </c>
      <c r="G198" s="503"/>
      <c r="H198" s="52"/>
      <c r="I198" s="220" t="s">
        <v>125</v>
      </c>
      <c r="J198" s="214">
        <f t="shared" si="24"/>
        <v>0</v>
      </c>
      <c r="K198" s="215">
        <f t="shared" si="25"/>
        <v>0</v>
      </c>
      <c r="L198" s="216">
        <f t="shared" si="26"/>
        <v>0</v>
      </c>
      <c r="N198" s="210" t="s">
        <v>49</v>
      </c>
    </row>
    <row r="199" spans="1:14" x14ac:dyDescent="0.3">
      <c r="B199" s="569" t="s">
        <v>449</v>
      </c>
      <c r="C199" s="499" t="str">
        <f>JenotkaMěny</f>
        <v>EURO</v>
      </c>
      <c r="D199" s="569"/>
      <c r="E199" s="569"/>
      <c r="F199" s="48">
        <v>0</v>
      </c>
      <c r="G199" s="503" t="s">
        <v>457</v>
      </c>
      <c r="H199" s="52"/>
      <c r="I199" s="220" t="s">
        <v>125</v>
      </c>
      <c r="J199" s="214">
        <f>IF($J$166='1.Initial Parameters'!$D$3,'2. Input Data On-Premise '!F199,'2. Input Data On-Premise '!F199/(1+$K$165))</f>
        <v>0</v>
      </c>
      <c r="K199" s="215">
        <f>IF($K$166='1.Initial Parameters'!$D$3,'2. Input Data On-Premise '!F199,'2. Input Data On-Premise '!F199*(1+$K$165))</f>
        <v>0</v>
      </c>
      <c r="L199" s="216">
        <f t="shared" ref="L199" si="33">IF($L$166=$J$166,J199,K199)</f>
        <v>0</v>
      </c>
      <c r="N199" s="210" t="s">
        <v>30</v>
      </c>
    </row>
    <row r="200" spans="1:14" x14ac:dyDescent="0.3">
      <c r="B200" s="569" t="s">
        <v>450</v>
      </c>
      <c r="C200" s="499" t="str">
        <f>'1.Initial Parameters'!$D$35</f>
        <v>Hour</v>
      </c>
      <c r="D200" s="500">
        <v>2</v>
      </c>
      <c r="E200" s="501">
        <f>VLOOKUP(D200,'1.Initial Parameters'!$D$44:$E$46,2,FALSE)</f>
        <v>657</v>
      </c>
      <c r="F200" s="502">
        <v>0</v>
      </c>
      <c r="G200" s="503"/>
      <c r="H200" s="52"/>
      <c r="I200" s="220" t="s">
        <v>126</v>
      </c>
      <c r="J200" s="214">
        <f t="shared" si="24"/>
        <v>0</v>
      </c>
      <c r="K200" s="215">
        <f t="shared" si="25"/>
        <v>0</v>
      </c>
      <c r="L200" s="216">
        <f t="shared" si="26"/>
        <v>0</v>
      </c>
      <c r="N200" s="210" t="s">
        <v>49</v>
      </c>
    </row>
    <row r="201" spans="1:14" x14ac:dyDescent="0.3">
      <c r="B201" s="569" t="s">
        <v>450</v>
      </c>
      <c r="C201" s="499" t="str">
        <f>JenotkaMěny</f>
        <v>EURO</v>
      </c>
      <c r="D201" s="569"/>
      <c r="E201" s="569"/>
      <c r="F201" s="48">
        <v>0</v>
      </c>
      <c r="G201" s="503" t="s">
        <v>457</v>
      </c>
      <c r="H201" s="52"/>
      <c r="I201" s="220" t="s">
        <v>126</v>
      </c>
      <c r="J201" s="214">
        <f>IF($J$166='1.Initial Parameters'!$D$3,'2. Input Data On-Premise '!F201,'2. Input Data On-Premise '!F201/(1+$K$165))</f>
        <v>0</v>
      </c>
      <c r="K201" s="215">
        <f>IF($K$166='1.Initial Parameters'!$D$3,'2. Input Data On-Premise '!F201,'2. Input Data On-Premise '!F201*(1+$K$165))</f>
        <v>0</v>
      </c>
      <c r="L201" s="216">
        <f t="shared" ref="L201" si="34">IF($L$166=$J$166,J201,K201)</f>
        <v>0</v>
      </c>
      <c r="N201" s="210" t="s">
        <v>30</v>
      </c>
    </row>
    <row r="202" spans="1:14" x14ac:dyDescent="0.3">
      <c r="B202" s="569" t="s">
        <v>451</v>
      </c>
      <c r="C202" s="499" t="str">
        <f>'1.Initial Parameters'!$D$35</f>
        <v>Hour</v>
      </c>
      <c r="D202" s="500">
        <v>2</v>
      </c>
      <c r="E202" s="501">
        <f>VLOOKUP(D202,'1.Initial Parameters'!$D$44:$E$46,2,FALSE)</f>
        <v>657</v>
      </c>
      <c r="F202" s="502">
        <v>0</v>
      </c>
      <c r="G202" s="503"/>
      <c r="H202" s="52"/>
      <c r="I202" s="220" t="s">
        <v>127</v>
      </c>
      <c r="J202" s="214">
        <f t="shared" si="24"/>
        <v>0</v>
      </c>
      <c r="K202" s="215">
        <f t="shared" si="25"/>
        <v>0</v>
      </c>
      <c r="L202" s="216">
        <f t="shared" si="26"/>
        <v>0</v>
      </c>
      <c r="N202" s="210" t="s">
        <v>49</v>
      </c>
    </row>
    <row r="203" spans="1:14" x14ac:dyDescent="0.3">
      <c r="B203" s="569" t="s">
        <v>452</v>
      </c>
      <c r="C203" s="499" t="str">
        <f>JenotkaMěny</f>
        <v>EURO</v>
      </c>
      <c r="D203" s="569"/>
      <c r="E203" s="507"/>
      <c r="F203" s="535">
        <v>0</v>
      </c>
      <c r="G203" s="503" t="s">
        <v>457</v>
      </c>
      <c r="H203" s="52"/>
      <c r="I203" s="220" t="s">
        <v>127</v>
      </c>
      <c r="J203" s="214">
        <f>IF($J$166='1.Initial Parameters'!$D$3,'2. Input Data On-Premise '!F203,'2. Input Data On-Premise '!F203/(1+$K$165))</f>
        <v>0</v>
      </c>
      <c r="K203" s="215">
        <f>IF($K$166='1.Initial Parameters'!$D$3,'2. Input Data On-Premise '!F203,'2. Input Data On-Premise '!F203*(1+$K$165))</f>
        <v>0</v>
      </c>
      <c r="L203" s="216">
        <f t="shared" si="26"/>
        <v>0</v>
      </c>
      <c r="N203" s="210" t="s">
        <v>30</v>
      </c>
    </row>
    <row r="204" spans="1:14" ht="18.600000000000001" customHeight="1" x14ac:dyDescent="0.3">
      <c r="B204" s="569" t="s">
        <v>453</v>
      </c>
      <c r="C204" s="499" t="str">
        <f>'1.Initial Parameters'!$D$35</f>
        <v>Hour</v>
      </c>
      <c r="D204" s="500">
        <v>2</v>
      </c>
      <c r="E204" s="501">
        <f>VLOOKUP(D204,'1.Initial Parameters'!$D$44:$E$46,2,FALSE)</f>
        <v>657</v>
      </c>
      <c r="F204" s="502">
        <v>0</v>
      </c>
      <c r="G204" s="503" t="s">
        <v>458</v>
      </c>
      <c r="H204" s="52"/>
      <c r="I204" s="220" t="s">
        <v>128</v>
      </c>
      <c r="J204" s="214">
        <f t="shared" ref="J204" si="35">E204*F204</f>
        <v>0</v>
      </c>
      <c r="K204" s="215">
        <f t="shared" ref="K204" si="36">E204*F204</f>
        <v>0</v>
      </c>
      <c r="L204" s="216">
        <f t="shared" ref="L204" si="37">IF($L$166=$J$166,J204,K204)</f>
        <v>0</v>
      </c>
      <c r="N204" s="210" t="s">
        <v>49</v>
      </c>
    </row>
    <row r="205" spans="1:14" ht="17.100000000000001" customHeight="1" thickBot="1" x14ac:dyDescent="0.35">
      <c r="A205" s="450"/>
      <c r="B205" s="569" t="s">
        <v>453</v>
      </c>
      <c r="C205" s="499" t="str">
        <f>JenotkaMěny</f>
        <v>EURO</v>
      </c>
      <c r="D205" s="569"/>
      <c r="E205" s="569"/>
      <c r="F205" s="48">
        <v>0</v>
      </c>
      <c r="G205" s="503" t="s">
        <v>459</v>
      </c>
      <c r="H205" s="52"/>
      <c r="I205" s="220" t="s">
        <v>128</v>
      </c>
      <c r="J205" s="214">
        <f>IF($J$166='1.Initial Parameters'!$D$3,'2. Input Data On-Premise '!F205,'2. Input Data On-Premise '!F205/(1+$K$165))</f>
        <v>0</v>
      </c>
      <c r="K205" s="215">
        <f>IF($K$166='1.Initial Parameters'!$D$3,'2. Input Data On-Premise '!F205,'2. Input Data On-Premise '!F205*(1+$K$165))</f>
        <v>0</v>
      </c>
      <c r="L205" s="216">
        <f t="shared" si="26"/>
        <v>0</v>
      </c>
      <c r="N205" s="210" t="s">
        <v>30</v>
      </c>
    </row>
    <row r="206" spans="1:14" ht="15.6" thickTop="1" thickBot="1" x14ac:dyDescent="0.35">
      <c r="A206" s="450"/>
      <c r="B206" s="588" t="s">
        <v>454</v>
      </c>
      <c r="C206" s="589" t="str">
        <f>JenotkaMěny</f>
        <v>EURO</v>
      </c>
      <c r="D206" s="589"/>
      <c r="E206" s="589"/>
      <c r="F206" s="664">
        <f>IF($J$166='1.Initial Parameters'!$D$3,J206,K206)</f>
        <v>0</v>
      </c>
      <c r="G206" s="589" t="str">
        <f>_xlfn.CONCAT(JenotkaMěny," total")</f>
        <v>EURO total</v>
      </c>
      <c r="H206" s="52"/>
      <c r="J206" s="252">
        <f>SUM(J176:J205)</f>
        <v>0</v>
      </c>
      <c r="K206" s="253">
        <f>SUM(K176:K205)</f>
        <v>0</v>
      </c>
      <c r="L206" s="254">
        <f>SUM(L176:L205)</f>
        <v>0</v>
      </c>
      <c r="N206" s="210" t="s">
        <v>30</v>
      </c>
    </row>
    <row r="207" spans="1:14" ht="28.2" thickTop="1" x14ac:dyDescent="0.3">
      <c r="A207" s="450"/>
      <c r="B207" s="463" t="s">
        <v>818</v>
      </c>
      <c r="C207" s="134" t="s">
        <v>260</v>
      </c>
      <c r="D207" s="462" t="s">
        <v>455</v>
      </c>
      <c r="E207" s="137"/>
      <c r="F207" s="135" t="s">
        <v>456</v>
      </c>
      <c r="G207" s="559" t="s">
        <v>251</v>
      </c>
      <c r="H207" s="52"/>
      <c r="N207" s="210" t="s">
        <v>30</v>
      </c>
    </row>
    <row r="208" spans="1:14" ht="25.2" customHeight="1" thickBot="1" x14ac:dyDescent="0.35">
      <c r="A208" s="450"/>
      <c r="B208" s="584" t="s">
        <v>433</v>
      </c>
      <c r="C208" s="585"/>
      <c r="D208" s="294" t="str">
        <f>'1.Initial Parameters'!$D$11</f>
        <v>YES</v>
      </c>
      <c r="E208" s="585"/>
      <c r="F208" s="590"/>
      <c r="G208" s="586" t="s">
        <v>435</v>
      </c>
      <c r="H208" s="52"/>
      <c r="N208" s="210" t="s">
        <v>30</v>
      </c>
    </row>
    <row r="209" spans="1:18" ht="21" thickTop="1" x14ac:dyDescent="0.3">
      <c r="A209" s="450"/>
      <c r="B209" s="570"/>
      <c r="C209" s="571"/>
      <c r="D209" s="571"/>
      <c r="E209" s="571"/>
      <c r="F209" s="591"/>
      <c r="G209" s="571"/>
      <c r="H209" s="52"/>
      <c r="J209" s="207" t="s">
        <v>237</v>
      </c>
      <c r="K209" s="268">
        <f>'1.Initial Parameters'!$D$5</f>
        <v>0.21</v>
      </c>
      <c r="L209" s="265" t="s">
        <v>298</v>
      </c>
      <c r="N209" s="210" t="s">
        <v>30</v>
      </c>
    </row>
    <row r="210" spans="1:18" ht="24" customHeight="1" x14ac:dyDescent="0.3">
      <c r="A210" s="592"/>
      <c r="B210" s="593" t="s">
        <v>460</v>
      </c>
      <c r="C210" s="594" t="s">
        <v>260</v>
      </c>
      <c r="D210" s="595" t="s">
        <v>88</v>
      </c>
      <c r="E210" s="596"/>
      <c r="F210" s="135" t="s">
        <v>456</v>
      </c>
      <c r="G210" s="593" t="s">
        <v>251</v>
      </c>
      <c r="H210" s="52"/>
      <c r="J210" s="211" t="s">
        <v>16</v>
      </c>
      <c r="K210" s="212" t="s">
        <v>17</v>
      </c>
      <c r="L210" s="213" t="str">
        <f>'4.TCO Calculation &amp; Comparsion'!$J$3</f>
        <v>VAT included</v>
      </c>
      <c r="N210" s="210" t="s">
        <v>30</v>
      </c>
    </row>
    <row r="211" spans="1:18" x14ac:dyDescent="0.3">
      <c r="A211" s="597"/>
      <c r="B211" s="598" t="s">
        <v>461</v>
      </c>
      <c r="C211" s="499" t="str">
        <f>'1.Initial Parameters'!$D$35</f>
        <v>Hour</v>
      </c>
      <c r="D211" s="500">
        <v>1</v>
      </c>
      <c r="E211" s="501">
        <f>VLOOKUP(D211,'1.Initial Parameters'!$D$44:$E$46,2,FALSE)</f>
        <v>654</v>
      </c>
      <c r="F211" s="568">
        <v>0</v>
      </c>
      <c r="G211" s="503"/>
      <c r="H211" s="52"/>
      <c r="I211" s="220" t="s">
        <v>129</v>
      </c>
      <c r="J211" s="214">
        <f>E211*F211</f>
        <v>0</v>
      </c>
      <c r="K211" s="215">
        <f>E211*F211</f>
        <v>0</v>
      </c>
      <c r="L211" s="216">
        <f t="shared" ref="L211:L218" si="38">IF($L$210=$J$210,J211,K211)</f>
        <v>0</v>
      </c>
      <c r="N211" s="210" t="s">
        <v>130</v>
      </c>
    </row>
    <row r="212" spans="1:18" x14ac:dyDescent="0.3">
      <c r="A212" s="597"/>
      <c r="B212" s="598" t="s">
        <v>461</v>
      </c>
      <c r="C212" s="499" t="str">
        <f>JenotkaMěny</f>
        <v>EURO</v>
      </c>
      <c r="D212" s="599"/>
      <c r="E212" s="501"/>
      <c r="F212" s="535">
        <v>0</v>
      </c>
      <c r="G212" s="503"/>
      <c r="H212" s="52"/>
      <c r="I212" s="220" t="s">
        <v>129</v>
      </c>
      <c r="J212" s="214">
        <f>IF($J$210='1.Initial Parameters'!$D$3,'2. Input Data On-Premise '!F212,'2. Input Data On-Premise '!F212/(1+$K$209))</f>
        <v>0</v>
      </c>
      <c r="K212" s="215">
        <f>IF($K$210='1.Initial Parameters'!$D$3,'2. Input Data On-Premise '!F212,'2. Input Data On-Premise '!F212*(1+$K$209))</f>
        <v>0</v>
      </c>
      <c r="L212" s="216">
        <f t="shared" si="38"/>
        <v>0</v>
      </c>
      <c r="N212" s="210" t="s">
        <v>30</v>
      </c>
    </row>
    <row r="213" spans="1:18" x14ac:dyDescent="0.3">
      <c r="A213" s="597"/>
      <c r="B213" s="598" t="s">
        <v>462</v>
      </c>
      <c r="C213" s="499" t="str">
        <f>'1.Initial Parameters'!$D$35</f>
        <v>Hour</v>
      </c>
      <c r="D213" s="500">
        <v>2</v>
      </c>
      <c r="E213" s="501">
        <f>VLOOKUP(D213,'1.Initial Parameters'!$D$44:$E$46,2,FALSE)</f>
        <v>657</v>
      </c>
      <c r="F213" s="568">
        <v>0</v>
      </c>
      <c r="G213" s="503"/>
      <c r="H213" s="52"/>
      <c r="I213" s="220" t="s">
        <v>131</v>
      </c>
      <c r="J213" s="214">
        <f>E213*F213</f>
        <v>0</v>
      </c>
      <c r="K213" s="215">
        <f>E213*F213</f>
        <v>0</v>
      </c>
      <c r="L213" s="216">
        <f t="shared" si="38"/>
        <v>0</v>
      </c>
      <c r="N213" s="210" t="s">
        <v>130</v>
      </c>
    </row>
    <row r="214" spans="1:18" x14ac:dyDescent="0.3">
      <c r="A214" s="597"/>
      <c r="B214" s="598" t="s">
        <v>462</v>
      </c>
      <c r="C214" s="499" t="str">
        <f>JenotkaMěny</f>
        <v>EURO</v>
      </c>
      <c r="D214" s="599"/>
      <c r="E214" s="501"/>
      <c r="F214" s="535">
        <v>0</v>
      </c>
      <c r="G214" s="503"/>
      <c r="H214" s="52"/>
      <c r="I214" s="220" t="s">
        <v>131</v>
      </c>
      <c r="J214" s="214">
        <f>IF($J$210='1.Initial Parameters'!$D$3,'2. Input Data On-Premise '!F214,'2. Input Data On-Premise '!F214/(1+$K$209))</f>
        <v>0</v>
      </c>
      <c r="K214" s="215">
        <f>IF($K$210='1.Initial Parameters'!$D$3,'2. Input Data On-Premise '!F214,'2. Input Data On-Premise '!F214*(1+$K$209))</f>
        <v>0</v>
      </c>
      <c r="L214" s="216">
        <f t="shared" si="38"/>
        <v>0</v>
      </c>
      <c r="N214" s="210" t="s">
        <v>30</v>
      </c>
    </row>
    <row r="215" spans="1:18" ht="27.6" x14ac:dyDescent="0.3">
      <c r="A215" s="597"/>
      <c r="B215" s="598" t="s">
        <v>463</v>
      </c>
      <c r="C215" s="499" t="str">
        <f>'1.Initial Parameters'!$D$35</f>
        <v>Hour</v>
      </c>
      <c r="D215" s="500">
        <v>3</v>
      </c>
      <c r="E215" s="501">
        <f>VLOOKUP(D215,'1.Initial Parameters'!$D$44:$E$46,2,FALSE)</f>
        <v>709</v>
      </c>
      <c r="F215" s="568">
        <v>0</v>
      </c>
      <c r="G215" s="503"/>
      <c r="H215" s="52"/>
      <c r="I215" s="220" t="s">
        <v>132</v>
      </c>
      <c r="J215" s="214">
        <f>E215*F215</f>
        <v>0</v>
      </c>
      <c r="K215" s="215">
        <f>E215*F215</f>
        <v>0</v>
      </c>
      <c r="L215" s="216">
        <f t="shared" si="38"/>
        <v>0</v>
      </c>
      <c r="N215" s="210" t="s">
        <v>130</v>
      </c>
    </row>
    <row r="216" spans="1:18" ht="27.6" x14ac:dyDescent="0.3">
      <c r="A216" s="597"/>
      <c r="B216" s="598" t="s">
        <v>463</v>
      </c>
      <c r="C216" s="499" t="str">
        <f>JenotkaMěny</f>
        <v>EURO</v>
      </c>
      <c r="D216" s="599"/>
      <c r="E216" s="501"/>
      <c r="F216" s="535">
        <v>0</v>
      </c>
      <c r="G216" s="503"/>
      <c r="H216" s="52"/>
      <c r="I216" s="220" t="s">
        <v>132</v>
      </c>
      <c r="J216" s="214">
        <f>IF($J$210='1.Initial Parameters'!$D$3,'2. Input Data On-Premise '!F216,'2. Input Data On-Premise '!F216/(1+$K$209))</f>
        <v>0</v>
      </c>
      <c r="K216" s="215">
        <f>IF($K$210='1.Initial Parameters'!$D$3,'2. Input Data On-Premise '!F216,'2. Input Data On-Premise '!F216*(1+$K$209))</f>
        <v>0</v>
      </c>
      <c r="L216" s="216">
        <f t="shared" si="38"/>
        <v>0</v>
      </c>
      <c r="N216" s="210" t="s">
        <v>30</v>
      </c>
    </row>
    <row r="217" spans="1:18" ht="27.6" x14ac:dyDescent="0.3">
      <c r="A217" s="597"/>
      <c r="B217" s="598" t="s">
        <v>464</v>
      </c>
      <c r="C217" s="499" t="str">
        <f>'1.Initial Parameters'!$D$35</f>
        <v>Hour</v>
      </c>
      <c r="D217" s="500">
        <v>2</v>
      </c>
      <c r="E217" s="501">
        <f>VLOOKUP(D217,'1.Initial Parameters'!$D$44:$E$46,2,FALSE)</f>
        <v>657</v>
      </c>
      <c r="F217" s="568">
        <v>0</v>
      </c>
      <c r="G217" s="503"/>
      <c r="H217" s="52"/>
      <c r="I217" s="220" t="s">
        <v>133</v>
      </c>
      <c r="J217" s="214">
        <f>E217*F217</f>
        <v>0</v>
      </c>
      <c r="K217" s="215">
        <f>E217*F217</f>
        <v>0</v>
      </c>
      <c r="L217" s="216">
        <f t="shared" si="38"/>
        <v>0</v>
      </c>
      <c r="N217" s="210" t="s">
        <v>130</v>
      </c>
    </row>
    <row r="218" spans="1:18" ht="28.2" thickBot="1" x14ac:dyDescent="0.35">
      <c r="A218" s="597"/>
      <c r="B218" s="598" t="s">
        <v>465</v>
      </c>
      <c r="C218" s="499" t="str">
        <f>JenotkaMěny</f>
        <v>EURO</v>
      </c>
      <c r="D218" s="599"/>
      <c r="E218" s="501"/>
      <c r="F218" s="506">
        <v>0</v>
      </c>
      <c r="G218" s="503"/>
      <c r="H218" s="52"/>
      <c r="I218" s="220" t="s">
        <v>133</v>
      </c>
      <c r="J218" s="217">
        <f>IF($J$210='1.Initial Parameters'!$D$3,'2. Input Data On-Premise '!F218,'2. Input Data On-Premise '!F218/(1+$K$209))</f>
        <v>0</v>
      </c>
      <c r="K218" s="218">
        <f>IF($K$210='1.Initial Parameters'!$D$3,'2. Input Data On-Premise '!F218,'2. Input Data On-Premise '!F218*(1+$K$209))</f>
        <v>0</v>
      </c>
      <c r="L218" s="219">
        <f t="shared" si="38"/>
        <v>0</v>
      </c>
      <c r="N218" s="210" t="s">
        <v>30</v>
      </c>
    </row>
    <row r="219" spans="1:18" ht="21.6" customHeight="1" thickTop="1" thickBot="1" x14ac:dyDescent="0.35">
      <c r="A219" s="597"/>
      <c r="B219" s="110"/>
      <c r="C219" s="600"/>
      <c r="D219" s="601" t="s">
        <v>466</v>
      </c>
      <c r="E219" s="602"/>
      <c r="F219" s="603"/>
      <c r="G219" s="112"/>
      <c r="H219" s="52"/>
      <c r="J219" s="269">
        <f>SUM(J211:J218)</f>
        <v>0</v>
      </c>
      <c r="K219" s="269">
        <f t="shared" ref="K219:L219" si="39">SUM(K211:K218)</f>
        <v>0</v>
      </c>
      <c r="L219" s="269">
        <f t="shared" si="39"/>
        <v>0</v>
      </c>
      <c r="N219" s="210" t="s">
        <v>30</v>
      </c>
    </row>
    <row r="220" spans="1:18" ht="21.6" thickTop="1" thickBot="1" x14ac:dyDescent="0.35">
      <c r="A220" s="597"/>
      <c r="B220" s="584" t="s">
        <v>433</v>
      </c>
      <c r="C220" s="604"/>
      <c r="D220" s="294" t="str">
        <f>'1.Initial Parameters'!$D$14</f>
        <v>NO</v>
      </c>
      <c r="E220" s="489"/>
      <c r="F220" s="605"/>
      <c r="G220" s="586" t="s">
        <v>467</v>
      </c>
      <c r="H220" s="52"/>
      <c r="J220" s="270"/>
      <c r="K220" s="270"/>
      <c r="L220" s="270"/>
      <c r="N220" s="210" t="s">
        <v>30</v>
      </c>
    </row>
    <row r="221" spans="1:18" ht="15" thickTop="1" x14ac:dyDescent="0.3">
      <c r="A221" s="597"/>
      <c r="B221" s="607"/>
      <c r="C221" s="573"/>
      <c r="D221" s="599"/>
      <c r="E221" s="501"/>
      <c r="F221" s="608"/>
      <c r="G221" s="503"/>
      <c r="H221" s="52"/>
      <c r="N221" s="210" t="s">
        <v>30</v>
      </c>
    </row>
    <row r="222" spans="1:18" ht="24.75" customHeight="1" x14ac:dyDescent="0.3">
      <c r="A222" s="592"/>
      <c r="B222" s="463" t="s">
        <v>468</v>
      </c>
      <c r="C222" s="134" t="s">
        <v>260</v>
      </c>
      <c r="D222" s="558" t="s">
        <v>88</v>
      </c>
      <c r="E222" s="137"/>
      <c r="F222" s="135" t="s">
        <v>456</v>
      </c>
      <c r="G222" s="463" t="s">
        <v>251</v>
      </c>
      <c r="H222" s="52"/>
      <c r="J222" s="211" t="s">
        <v>16</v>
      </c>
      <c r="K222" s="212" t="s">
        <v>17</v>
      </c>
      <c r="L222" s="213" t="str">
        <f>'4.TCO Calculation &amp; Comparsion'!$J$3</f>
        <v>VAT included</v>
      </c>
      <c r="M222" s="271"/>
      <c r="N222" s="210" t="s">
        <v>30</v>
      </c>
      <c r="O222" s="271"/>
    </row>
    <row r="223" spans="1:18" x14ac:dyDescent="0.3">
      <c r="A223" s="597"/>
      <c r="B223" s="607" t="s">
        <v>469</v>
      </c>
      <c r="C223" s="499" t="str">
        <f>'1.Initial Parameters'!$D$35</f>
        <v>Hour</v>
      </c>
      <c r="D223" s="500">
        <v>1</v>
      </c>
      <c r="E223" s="501">
        <f>VLOOKUP(D223,'1.Initial Parameters'!$D$44:$E$46,2,FALSE)</f>
        <v>654</v>
      </c>
      <c r="F223" s="568">
        <v>0</v>
      </c>
      <c r="G223" s="503"/>
      <c r="H223" s="52"/>
      <c r="I223" s="220" t="s">
        <v>134</v>
      </c>
      <c r="J223" s="214">
        <f>E223*F223</f>
        <v>0</v>
      </c>
      <c r="K223" s="215">
        <f>E223*F223</f>
        <v>0</v>
      </c>
      <c r="L223" s="216">
        <f t="shared" ref="L223:L230" si="40">IF($L$210=$J$210,J223,K223)</f>
        <v>0</v>
      </c>
      <c r="M223" s="271"/>
      <c r="N223" s="210" t="s">
        <v>130</v>
      </c>
      <c r="O223" s="270"/>
      <c r="P223" s="270"/>
      <c r="Q223" s="270"/>
      <c r="R223" s="606"/>
    </row>
    <row r="224" spans="1:18" x14ac:dyDescent="0.3">
      <c r="A224" s="597"/>
      <c r="B224" s="607" t="s">
        <v>469</v>
      </c>
      <c r="C224" s="499" t="str">
        <f>JenotkaMěny</f>
        <v>EURO</v>
      </c>
      <c r="D224" s="599"/>
      <c r="E224" s="501"/>
      <c r="F224" s="535">
        <v>0</v>
      </c>
      <c r="G224" s="503"/>
      <c r="H224" s="52"/>
      <c r="I224" s="220" t="s">
        <v>134</v>
      </c>
      <c r="J224" s="214">
        <f>IF($J$210='1.Initial Parameters'!$D$3,'2. Input Data On-Premise '!F224,'2. Input Data On-Premise '!F224/(1+$K$209))</f>
        <v>0</v>
      </c>
      <c r="K224" s="215">
        <f>IF($K$210='1.Initial Parameters'!$D$3,'2. Input Data On-Premise '!F224,'2. Input Data On-Premise '!F224*(1+$K$209))</f>
        <v>0</v>
      </c>
      <c r="L224" s="216">
        <f t="shared" si="40"/>
        <v>0</v>
      </c>
      <c r="M224" s="271"/>
      <c r="N224" s="210" t="s">
        <v>30</v>
      </c>
      <c r="O224" s="270"/>
      <c r="P224" s="270"/>
      <c r="Q224" s="270"/>
      <c r="R224" s="606"/>
    </row>
    <row r="225" spans="1:18" x14ac:dyDescent="0.3">
      <c r="A225" s="597"/>
      <c r="B225" s="607" t="s">
        <v>470</v>
      </c>
      <c r="C225" s="499" t="str">
        <f>'1.Initial Parameters'!$D$35</f>
        <v>Hour</v>
      </c>
      <c r="D225" s="500">
        <v>2</v>
      </c>
      <c r="E225" s="501">
        <f>VLOOKUP(D225,'1.Initial Parameters'!$D$44:$E$46,2,FALSE)</f>
        <v>657</v>
      </c>
      <c r="F225" s="568">
        <v>0</v>
      </c>
      <c r="G225" s="503"/>
      <c r="H225" s="52"/>
      <c r="I225" s="220" t="s">
        <v>135</v>
      </c>
      <c r="J225" s="214">
        <f>E225*F225</f>
        <v>0</v>
      </c>
      <c r="K225" s="215">
        <f>E225*F225</f>
        <v>0</v>
      </c>
      <c r="L225" s="216">
        <f t="shared" si="40"/>
        <v>0</v>
      </c>
      <c r="M225" s="271"/>
      <c r="N225" s="210" t="s">
        <v>130</v>
      </c>
      <c r="O225" s="270"/>
      <c r="P225" s="270"/>
      <c r="Q225" s="270"/>
      <c r="R225" s="606"/>
    </row>
    <row r="226" spans="1:18" x14ac:dyDescent="0.3">
      <c r="A226" s="597"/>
      <c r="B226" s="607" t="s">
        <v>470</v>
      </c>
      <c r="C226" s="499" t="str">
        <f>JenotkaMěny</f>
        <v>EURO</v>
      </c>
      <c r="D226" s="599"/>
      <c r="E226" s="501"/>
      <c r="F226" s="535">
        <v>0</v>
      </c>
      <c r="G226" s="503"/>
      <c r="H226" s="52"/>
      <c r="I226" s="220" t="s">
        <v>135</v>
      </c>
      <c r="J226" s="214">
        <f>IF($J$210='1.Initial Parameters'!$D$3,'2. Input Data On-Premise '!F226,'2. Input Data On-Premise '!F226/(1+$K$209))</f>
        <v>0</v>
      </c>
      <c r="K226" s="215">
        <f>IF($K$210='1.Initial Parameters'!$D$3,'2. Input Data On-Premise '!F226,'2. Input Data On-Premise '!F226*(1+$K$209))</f>
        <v>0</v>
      </c>
      <c r="L226" s="216">
        <f t="shared" si="40"/>
        <v>0</v>
      </c>
      <c r="M226" s="271"/>
      <c r="N226" s="210" t="s">
        <v>30</v>
      </c>
      <c r="O226" s="270"/>
      <c r="P226" s="270"/>
      <c r="Q226" s="270"/>
      <c r="R226" s="606"/>
    </row>
    <row r="227" spans="1:18" x14ac:dyDescent="0.3">
      <c r="A227" s="597"/>
      <c r="B227" s="607" t="s">
        <v>471</v>
      </c>
      <c r="C227" s="499" t="str">
        <f>'1.Initial Parameters'!$D$35</f>
        <v>Hour</v>
      </c>
      <c r="D227" s="500">
        <v>3</v>
      </c>
      <c r="E227" s="501">
        <f>VLOOKUP(D227,'1.Initial Parameters'!$D$44:$E$46,2,FALSE)</f>
        <v>709</v>
      </c>
      <c r="F227" s="568">
        <v>0</v>
      </c>
      <c r="G227" s="503"/>
      <c r="H227" s="52"/>
      <c r="I227" s="220" t="s">
        <v>136</v>
      </c>
      <c r="J227" s="214">
        <f>E227*F227</f>
        <v>0</v>
      </c>
      <c r="K227" s="215">
        <f>E227*F227</f>
        <v>0</v>
      </c>
      <c r="L227" s="216">
        <f t="shared" si="40"/>
        <v>0</v>
      </c>
      <c r="M227" s="271"/>
      <c r="N227" s="210" t="s">
        <v>130</v>
      </c>
      <c r="O227" s="270"/>
      <c r="P227" s="270"/>
      <c r="Q227" s="270"/>
      <c r="R227" s="606"/>
    </row>
    <row r="228" spans="1:18" x14ac:dyDescent="0.3">
      <c r="A228" s="597"/>
      <c r="B228" s="607" t="s">
        <v>471</v>
      </c>
      <c r="C228" s="499" t="str">
        <f>JenotkaMěny</f>
        <v>EURO</v>
      </c>
      <c r="D228" s="599"/>
      <c r="E228" s="501"/>
      <c r="F228" s="535">
        <v>0</v>
      </c>
      <c r="G228" s="503"/>
      <c r="H228" s="52"/>
      <c r="I228" s="220" t="s">
        <v>136</v>
      </c>
      <c r="J228" s="214">
        <f>IF($J$210='1.Initial Parameters'!$D$3,'2. Input Data On-Premise '!F228,'2. Input Data On-Premise '!F228/(1+$K$209))</f>
        <v>0</v>
      </c>
      <c r="K228" s="215">
        <f>IF($K$210='1.Initial Parameters'!$D$3,'2. Input Data On-Premise '!F228,'2. Input Data On-Premise '!F228*(1+$K$209))</f>
        <v>0</v>
      </c>
      <c r="L228" s="216">
        <f t="shared" si="40"/>
        <v>0</v>
      </c>
      <c r="N228" s="210" t="s">
        <v>30</v>
      </c>
      <c r="O228" s="270"/>
      <c r="P228" s="270"/>
      <c r="Q228" s="270"/>
      <c r="R228" s="606"/>
    </row>
    <row r="229" spans="1:18" x14ac:dyDescent="0.3">
      <c r="A229" s="597"/>
      <c r="B229" s="607" t="s">
        <v>472</v>
      </c>
      <c r="C229" s="499" t="str">
        <f>'1.Initial Parameters'!$D$35</f>
        <v>Hour</v>
      </c>
      <c r="D229" s="500">
        <v>2</v>
      </c>
      <c r="E229" s="501">
        <f>VLOOKUP(D229,'1.Initial Parameters'!$D$44:$E$46,2,FALSE)</f>
        <v>657</v>
      </c>
      <c r="F229" s="568">
        <v>0</v>
      </c>
      <c r="G229" s="503"/>
      <c r="H229" s="52"/>
      <c r="I229" s="220" t="s">
        <v>137</v>
      </c>
      <c r="J229" s="214">
        <f>E229*F229</f>
        <v>0</v>
      </c>
      <c r="K229" s="215">
        <f>E229*F229</f>
        <v>0</v>
      </c>
      <c r="L229" s="216">
        <f t="shared" si="40"/>
        <v>0</v>
      </c>
      <c r="N229" s="210" t="s">
        <v>130</v>
      </c>
      <c r="O229" s="270"/>
      <c r="P229" s="270"/>
      <c r="Q229" s="270"/>
      <c r="R229" s="606"/>
    </row>
    <row r="230" spans="1:18" ht="15" thickBot="1" x14ac:dyDescent="0.35">
      <c r="A230" s="597"/>
      <c r="B230" s="607" t="s">
        <v>472</v>
      </c>
      <c r="C230" s="499" t="str">
        <f>JenotkaMěny</f>
        <v>EURO</v>
      </c>
      <c r="D230" s="599"/>
      <c r="E230" s="501"/>
      <c r="F230" s="506">
        <v>0</v>
      </c>
      <c r="G230" s="503"/>
      <c r="H230" s="52"/>
      <c r="I230" s="220" t="s">
        <v>137</v>
      </c>
      <c r="J230" s="217">
        <f>IF($J$210='1.Initial Parameters'!$D$3,'2. Input Data On-Premise '!F230,'2. Input Data On-Premise '!F230/(1+$K$209))</f>
        <v>0</v>
      </c>
      <c r="K230" s="218">
        <f>IF($K$210='1.Initial Parameters'!$D$3,'2. Input Data On-Premise '!F230,'2. Input Data On-Premise '!F230*(1+$K$209))</f>
        <v>0</v>
      </c>
      <c r="L230" s="219">
        <f t="shared" si="40"/>
        <v>0</v>
      </c>
      <c r="N230" s="210" t="s">
        <v>30</v>
      </c>
      <c r="O230" s="270"/>
      <c r="P230" s="270"/>
      <c r="Q230" s="270"/>
      <c r="R230" s="606"/>
    </row>
    <row r="231" spans="1:18" ht="21.6" customHeight="1" thickTop="1" thickBot="1" x14ac:dyDescent="0.35">
      <c r="A231" s="597"/>
      <c r="B231" s="609"/>
      <c r="C231" s="610"/>
      <c r="D231" s="601" t="s">
        <v>466</v>
      </c>
      <c r="E231" s="602"/>
      <c r="F231" s="611"/>
      <c r="G231" s="612"/>
      <c r="H231" s="52"/>
      <c r="I231" s="221"/>
      <c r="J231" s="269">
        <f>SUM(J223:J230)</f>
        <v>0</v>
      </c>
      <c r="K231" s="269">
        <f>SUM(K223:K230)</f>
        <v>0</v>
      </c>
      <c r="L231" s="269">
        <f>SUM(L223:L230)</f>
        <v>0</v>
      </c>
      <c r="N231" s="210" t="s">
        <v>30</v>
      </c>
      <c r="O231" s="270"/>
      <c r="P231" s="270"/>
      <c r="Q231" s="270"/>
      <c r="R231" s="606"/>
    </row>
    <row r="232" spans="1:18" ht="21.6" thickTop="1" thickBot="1" x14ac:dyDescent="0.35">
      <c r="A232" s="597"/>
      <c r="B232" s="584" t="s">
        <v>433</v>
      </c>
      <c r="C232" s="613"/>
      <c r="D232" s="294" t="str">
        <f>'1.Initial Parameters'!$D$14</f>
        <v>NO</v>
      </c>
      <c r="E232" s="489"/>
      <c r="F232" s="614"/>
      <c r="G232" s="586" t="s">
        <v>467</v>
      </c>
      <c r="H232" s="52"/>
      <c r="J232" s="272"/>
      <c r="K232" s="272"/>
      <c r="L232" s="272"/>
      <c r="N232" s="210" t="s">
        <v>30</v>
      </c>
    </row>
    <row r="233" spans="1:18" ht="15" thickTop="1" x14ac:dyDescent="0.3">
      <c r="A233" s="597"/>
      <c r="B233" s="607"/>
      <c r="C233" s="573"/>
      <c r="D233" s="599"/>
      <c r="E233" s="501"/>
      <c r="F233" s="608"/>
      <c r="G233" s="503"/>
      <c r="H233" s="52"/>
      <c r="J233" s="270"/>
      <c r="K233" s="270"/>
      <c r="L233" s="270"/>
      <c r="N233" s="210" t="s">
        <v>30</v>
      </c>
    </row>
    <row r="234" spans="1:18" ht="24.75" customHeight="1" x14ac:dyDescent="0.3">
      <c r="A234" s="592"/>
      <c r="B234" s="463" t="s">
        <v>473</v>
      </c>
      <c r="C234" s="134" t="s">
        <v>260</v>
      </c>
      <c r="D234" s="558" t="s">
        <v>88</v>
      </c>
      <c r="E234" s="137"/>
      <c r="F234" s="135" t="s">
        <v>456</v>
      </c>
      <c r="G234" s="463" t="s">
        <v>251</v>
      </c>
      <c r="H234" s="52"/>
      <c r="J234" s="211" t="s">
        <v>16</v>
      </c>
      <c r="K234" s="212" t="s">
        <v>17</v>
      </c>
      <c r="L234" s="213" t="str">
        <f>'4.TCO Calculation &amp; Comparsion'!$J$3</f>
        <v>VAT included</v>
      </c>
      <c r="N234" s="210" t="s">
        <v>30</v>
      </c>
    </row>
    <row r="235" spans="1:18" x14ac:dyDescent="0.3">
      <c r="A235" s="597"/>
      <c r="B235" s="607" t="s">
        <v>474</v>
      </c>
      <c r="C235" s="499" t="str">
        <f>'1.Initial Parameters'!$D$27</f>
        <v>Hour/year</v>
      </c>
      <c r="D235" s="500">
        <v>3</v>
      </c>
      <c r="E235" s="501">
        <f>VLOOKUP(D235,'1.Initial Parameters'!$D$44:$E$46,2,FALSE)</f>
        <v>709</v>
      </c>
      <c r="F235" s="568">
        <v>0</v>
      </c>
      <c r="G235" s="503"/>
      <c r="H235" s="52"/>
      <c r="I235" s="220" t="s">
        <v>138</v>
      </c>
      <c r="J235" s="214">
        <f>E235*F235</f>
        <v>0</v>
      </c>
      <c r="K235" s="215">
        <f>E235*F235</f>
        <v>0</v>
      </c>
      <c r="L235" s="216">
        <f t="shared" ref="L235:L240" si="41">IF($L$210=$J$210,J235,K235)</f>
        <v>0</v>
      </c>
      <c r="N235" s="210" t="s">
        <v>139</v>
      </c>
    </row>
    <row r="236" spans="1:18" x14ac:dyDescent="0.3">
      <c r="A236" s="597"/>
      <c r="B236" s="607" t="s">
        <v>474</v>
      </c>
      <c r="C236" s="507" t="str">
        <f>'1.Initial Parameters'!$D$25</f>
        <v>EURO/year</v>
      </c>
      <c r="D236" s="599"/>
      <c r="E236" s="501"/>
      <c r="F236" s="535">
        <v>0</v>
      </c>
      <c r="G236" s="503"/>
      <c r="H236" s="52"/>
      <c r="I236" s="220" t="s">
        <v>138</v>
      </c>
      <c r="J236" s="214">
        <f>IF($J$210='1.Initial Parameters'!$D$3,'2. Input Data On-Premise '!F236,'2. Input Data On-Premise '!F236/(1+$K$209))</f>
        <v>0</v>
      </c>
      <c r="K236" s="215">
        <f>IF($K$210='1.Initial Parameters'!$D$3,'2. Input Data On-Premise '!F236,'2. Input Data On-Premise '!F236*(1+$K$209))</f>
        <v>0</v>
      </c>
      <c r="L236" s="216">
        <f t="shared" si="41"/>
        <v>0</v>
      </c>
      <c r="N236" s="210" t="s">
        <v>30</v>
      </c>
    </row>
    <row r="237" spans="1:18" x14ac:dyDescent="0.3">
      <c r="A237" s="597"/>
      <c r="B237" s="607" t="s">
        <v>475</v>
      </c>
      <c r="C237" s="499" t="str">
        <f>'1.Initial Parameters'!$D$27</f>
        <v>Hour/year</v>
      </c>
      <c r="D237" s="500">
        <v>3</v>
      </c>
      <c r="E237" s="501">
        <f>VLOOKUP(D237,'1.Initial Parameters'!$D$44:$E$46,2,FALSE)</f>
        <v>709</v>
      </c>
      <c r="F237" s="616">
        <v>0</v>
      </c>
      <c r="G237" s="503"/>
      <c r="H237" s="52"/>
      <c r="I237" s="220" t="s">
        <v>140</v>
      </c>
      <c r="J237" s="214">
        <f>E237*F237</f>
        <v>0</v>
      </c>
      <c r="K237" s="215">
        <f>E237*F237</f>
        <v>0</v>
      </c>
      <c r="L237" s="216">
        <f t="shared" si="41"/>
        <v>0</v>
      </c>
      <c r="N237" s="210" t="s">
        <v>139</v>
      </c>
    </row>
    <row r="238" spans="1:18" x14ac:dyDescent="0.3">
      <c r="A238" s="597"/>
      <c r="B238" s="607" t="s">
        <v>475</v>
      </c>
      <c r="C238" s="507" t="str">
        <f>'1.Initial Parameters'!$D$25</f>
        <v>EURO/year</v>
      </c>
      <c r="D238" s="599"/>
      <c r="E238" s="501"/>
      <c r="F238" s="535">
        <v>0</v>
      </c>
      <c r="G238" s="503"/>
      <c r="H238" s="52"/>
      <c r="I238" s="220" t="s">
        <v>140</v>
      </c>
      <c r="J238" s="214">
        <f>IF($J$210='1.Initial Parameters'!$D$3,'2. Input Data On-Premise '!F238,'2. Input Data On-Premise '!F238/(1+$K$209))</f>
        <v>0</v>
      </c>
      <c r="K238" s="215">
        <f>IF($K$210='1.Initial Parameters'!$D$3,'2. Input Data On-Premise '!F238,'2. Input Data On-Premise '!F238*(1+$K$209))</f>
        <v>0</v>
      </c>
      <c r="L238" s="216">
        <f t="shared" si="41"/>
        <v>0</v>
      </c>
      <c r="N238" s="210" t="s">
        <v>30</v>
      </c>
    </row>
    <row r="239" spans="1:18" x14ac:dyDescent="0.3">
      <c r="A239" s="597"/>
      <c r="B239" s="607" t="s">
        <v>476</v>
      </c>
      <c r="C239" s="499" t="str">
        <f>'1.Initial Parameters'!$D$27</f>
        <v>Hour/year</v>
      </c>
      <c r="D239" s="500">
        <v>2</v>
      </c>
      <c r="E239" s="501">
        <f>VLOOKUP(D239,'1.Initial Parameters'!$D$44:$E$46,2,FALSE)</f>
        <v>657</v>
      </c>
      <c r="F239" s="568">
        <v>0</v>
      </c>
      <c r="G239" s="503" t="s">
        <v>478</v>
      </c>
      <c r="H239" s="52"/>
      <c r="I239" s="220" t="s">
        <v>141</v>
      </c>
      <c r="J239" s="214">
        <f>E239*F239</f>
        <v>0</v>
      </c>
      <c r="K239" s="215">
        <f>E239*F239</f>
        <v>0</v>
      </c>
      <c r="L239" s="216">
        <f t="shared" si="41"/>
        <v>0</v>
      </c>
      <c r="N239" s="210" t="s">
        <v>139</v>
      </c>
    </row>
    <row r="240" spans="1:18" ht="15" thickBot="1" x14ac:dyDescent="0.35">
      <c r="A240" s="597"/>
      <c r="B240" s="607" t="s">
        <v>477</v>
      </c>
      <c r="C240" s="507" t="str">
        <f>'1.Initial Parameters'!$D$25</f>
        <v>EURO/year</v>
      </c>
      <c r="D240" s="599"/>
      <c r="E240" s="501"/>
      <c r="F240" s="506">
        <v>0</v>
      </c>
      <c r="G240" s="503" t="s">
        <v>478</v>
      </c>
      <c r="H240" s="52"/>
      <c r="I240" s="220" t="s">
        <v>141</v>
      </c>
      <c r="J240" s="217">
        <f>IF($J$210='1.Initial Parameters'!$D$3,'2. Input Data On-Premise '!F240,'2. Input Data On-Premise '!F240/(1+$K$209))</f>
        <v>0</v>
      </c>
      <c r="K240" s="218">
        <f>IF($K$210='1.Initial Parameters'!$D$3,'2. Input Data On-Premise '!F240,'2. Input Data On-Premise '!F240*(1+$K$209))</f>
        <v>0</v>
      </c>
      <c r="L240" s="219">
        <f t="shared" si="41"/>
        <v>0</v>
      </c>
      <c r="N240" s="210" t="s">
        <v>30</v>
      </c>
    </row>
    <row r="241" spans="1:14" ht="12" customHeight="1" thickTop="1" x14ac:dyDescent="0.3">
      <c r="A241" s="597"/>
      <c r="B241" s="617"/>
      <c r="C241" s="618"/>
      <c r="D241" s="619"/>
      <c r="E241" s="620"/>
      <c r="F241" s="621"/>
      <c r="G241" s="622"/>
      <c r="H241" s="52"/>
      <c r="J241" s="273">
        <f>SUM(J235:J240)</f>
        <v>0</v>
      </c>
      <c r="K241" s="273">
        <f t="shared" ref="K241:L241" si="42">SUM(K235:K240)</f>
        <v>0</v>
      </c>
      <c r="L241" s="273">
        <f t="shared" si="42"/>
        <v>0</v>
      </c>
      <c r="N241" s="210" t="s">
        <v>30</v>
      </c>
    </row>
    <row r="242" spans="1:14" ht="12" customHeight="1" thickBot="1" x14ac:dyDescent="0.35">
      <c r="A242" s="597"/>
      <c r="B242" s="607"/>
      <c r="C242" s="573"/>
      <c r="D242" s="599"/>
      <c r="E242" s="501"/>
      <c r="F242" s="608"/>
      <c r="G242" s="503"/>
      <c r="H242" s="52"/>
      <c r="J242" s="269">
        <f>J241*DelkaProjektu</f>
        <v>0</v>
      </c>
      <c r="K242" s="274">
        <f>K241*DelkaProjektu</f>
        <v>0</v>
      </c>
      <c r="L242" s="274">
        <f>L241*DelkaProjektu</f>
        <v>0</v>
      </c>
      <c r="N242" s="210" t="s">
        <v>30</v>
      </c>
    </row>
    <row r="243" spans="1:14" ht="24.75" customHeight="1" thickTop="1" x14ac:dyDescent="0.3">
      <c r="A243" s="592"/>
      <c r="B243" s="463" t="s">
        <v>479</v>
      </c>
      <c r="C243" s="134" t="s">
        <v>260</v>
      </c>
      <c r="D243" s="558" t="s">
        <v>88</v>
      </c>
      <c r="E243" s="137"/>
      <c r="F243" s="135" t="s">
        <v>456</v>
      </c>
      <c r="G243" s="463" t="s">
        <v>251</v>
      </c>
      <c r="H243" s="52"/>
      <c r="J243" s="211" t="s">
        <v>16</v>
      </c>
      <c r="K243" s="212" t="s">
        <v>17</v>
      </c>
      <c r="L243" s="213" t="str">
        <f>'4.TCO Calculation &amp; Comparsion'!$J$3</f>
        <v>VAT included</v>
      </c>
      <c r="N243" s="210" t="s">
        <v>30</v>
      </c>
    </row>
    <row r="244" spans="1:14" x14ac:dyDescent="0.3">
      <c r="A244" s="597"/>
      <c r="B244" s="598" t="s">
        <v>480</v>
      </c>
      <c r="C244" s="499" t="str">
        <f>'1.Initial Parameters'!$D$35</f>
        <v>Hour</v>
      </c>
      <c r="D244" s="500">
        <v>3</v>
      </c>
      <c r="E244" s="501">
        <f>VLOOKUP(D244,'1.Initial Parameters'!$D$44:$E$46,2,FALSE)</f>
        <v>709</v>
      </c>
      <c r="F244" s="568">
        <v>0</v>
      </c>
      <c r="G244" s="503"/>
      <c r="H244" s="52"/>
      <c r="I244" s="220" t="s">
        <v>142</v>
      </c>
      <c r="J244" s="214">
        <f>E244*F244</f>
        <v>0</v>
      </c>
      <c r="K244" s="215">
        <f>E244*F244</f>
        <v>0</v>
      </c>
      <c r="L244" s="216">
        <f t="shared" ref="L244:L249" si="43">IF($L$210=$J$210,J244,K244)</f>
        <v>0</v>
      </c>
      <c r="N244" s="210" t="s">
        <v>130</v>
      </c>
    </row>
    <row r="245" spans="1:14" x14ac:dyDescent="0.3">
      <c r="A245" s="597"/>
      <c r="B245" s="598" t="s">
        <v>480</v>
      </c>
      <c r="C245" s="499" t="str">
        <f>JenotkaMěny</f>
        <v>EURO</v>
      </c>
      <c r="D245" s="599"/>
      <c r="E245" s="501"/>
      <c r="F245" s="535">
        <v>0</v>
      </c>
      <c r="G245" s="503"/>
      <c r="H245" s="52"/>
      <c r="I245" s="220" t="s">
        <v>142</v>
      </c>
      <c r="J245" s="214">
        <f>IF($J$210='1.Initial Parameters'!$D$3,'2. Input Data On-Premise '!F245,'2. Input Data On-Premise '!F245/(1+$K$209))</f>
        <v>0</v>
      </c>
      <c r="K245" s="215">
        <f>IF($K$210='1.Initial Parameters'!$D$3,'2. Input Data On-Premise '!F245,'2. Input Data On-Premise '!F245*(1+$K$209))</f>
        <v>0</v>
      </c>
      <c r="L245" s="216">
        <f t="shared" si="43"/>
        <v>0</v>
      </c>
      <c r="N245" s="210" t="s">
        <v>30</v>
      </c>
    </row>
    <row r="246" spans="1:14" ht="27.6" x14ac:dyDescent="0.3">
      <c r="A246" s="597"/>
      <c r="B246" s="598" t="s">
        <v>481</v>
      </c>
      <c r="C246" s="499" t="str">
        <f>'1.Initial Parameters'!$D$35</f>
        <v>Hour</v>
      </c>
      <c r="D246" s="500">
        <v>3</v>
      </c>
      <c r="E246" s="501">
        <f>VLOOKUP(D246,'1.Initial Parameters'!$D$44:$E$46,2,FALSE)</f>
        <v>709</v>
      </c>
      <c r="F246" s="568">
        <v>0</v>
      </c>
      <c r="G246" s="503"/>
      <c r="H246" s="52"/>
      <c r="I246" s="220" t="s">
        <v>143</v>
      </c>
      <c r="J246" s="214">
        <f>E246*F246</f>
        <v>0</v>
      </c>
      <c r="K246" s="215">
        <f>E246*F246</f>
        <v>0</v>
      </c>
      <c r="L246" s="216">
        <f t="shared" si="43"/>
        <v>0</v>
      </c>
      <c r="N246" s="210" t="s">
        <v>130</v>
      </c>
    </row>
    <row r="247" spans="1:14" ht="27.6" x14ac:dyDescent="0.3">
      <c r="A247" s="450"/>
      <c r="B247" s="598" t="s">
        <v>481</v>
      </c>
      <c r="C247" s="499" t="str">
        <f>JenotkaMěny</f>
        <v>EURO</v>
      </c>
      <c r="D247" s="599"/>
      <c r="E247" s="501"/>
      <c r="F247" s="535">
        <v>0</v>
      </c>
      <c r="G247" s="503"/>
      <c r="H247" s="52"/>
      <c r="I247" s="220" t="s">
        <v>143</v>
      </c>
      <c r="J247" s="214">
        <f>IF($J$210='1.Initial Parameters'!$D$3,'2. Input Data On-Premise '!F247,'2. Input Data On-Premise '!F247/(1+$K$209))</f>
        <v>0</v>
      </c>
      <c r="K247" s="215">
        <f>IF($K$210='1.Initial Parameters'!$D$3,'2. Input Data On-Premise '!F247,'2. Input Data On-Premise '!F247*(1+$K$209))</f>
        <v>0</v>
      </c>
      <c r="L247" s="216">
        <f t="shared" si="43"/>
        <v>0</v>
      </c>
      <c r="N247" s="210" t="s">
        <v>30</v>
      </c>
    </row>
    <row r="248" spans="1:14" x14ac:dyDescent="0.3">
      <c r="A248" s="450"/>
      <c r="B248" s="598" t="s">
        <v>482</v>
      </c>
      <c r="C248" s="499" t="str">
        <f>'1.Initial Parameters'!$D$35</f>
        <v>Hour</v>
      </c>
      <c r="D248" s="500">
        <v>2</v>
      </c>
      <c r="E248" s="501">
        <f>VLOOKUP(D248,'1.Initial Parameters'!$D$44:$E$46,2,FALSE)</f>
        <v>657</v>
      </c>
      <c r="F248" s="568">
        <v>0</v>
      </c>
      <c r="G248" s="503"/>
      <c r="H248" s="52"/>
      <c r="I248" s="220" t="s">
        <v>144</v>
      </c>
      <c r="J248" s="214">
        <f>E248*F248</f>
        <v>0</v>
      </c>
      <c r="K248" s="215">
        <f>E248*F248</f>
        <v>0</v>
      </c>
      <c r="L248" s="216">
        <f t="shared" si="43"/>
        <v>0</v>
      </c>
      <c r="N248" s="210" t="s">
        <v>130</v>
      </c>
    </row>
    <row r="249" spans="1:14" x14ac:dyDescent="0.3">
      <c r="A249" s="450"/>
      <c r="B249" s="598" t="s">
        <v>482</v>
      </c>
      <c r="C249" s="499" t="str">
        <f>JenotkaMěny</f>
        <v>EURO</v>
      </c>
      <c r="D249" s="599"/>
      <c r="E249" s="501"/>
      <c r="F249" s="506">
        <v>0</v>
      </c>
      <c r="G249" s="503"/>
      <c r="H249" s="52"/>
      <c r="I249" s="220" t="s">
        <v>144</v>
      </c>
      <c r="J249" s="214">
        <f>IF($J$210='1.Initial Parameters'!$D$3,'2. Input Data On-Premise '!F249,'2. Input Data On-Premise '!F249/(1+$K$209))</f>
        <v>0</v>
      </c>
      <c r="K249" s="215">
        <f>IF($K$210='1.Initial Parameters'!$D$3,'2. Input Data On-Premise '!F249,'2. Input Data On-Premise '!F249*(1+$K$209))</f>
        <v>0</v>
      </c>
      <c r="L249" s="216">
        <f t="shared" si="43"/>
        <v>0</v>
      </c>
      <c r="N249" s="210" t="s">
        <v>30</v>
      </c>
    </row>
    <row r="250" spans="1:14" ht="20.399999999999999" customHeight="1" thickBot="1" x14ac:dyDescent="0.35">
      <c r="A250" s="450"/>
      <c r="B250" s="110"/>
      <c r="C250" s="600"/>
      <c r="D250" s="601" t="s">
        <v>466</v>
      </c>
      <c r="E250" s="602"/>
      <c r="F250" s="603"/>
      <c r="G250" s="112"/>
      <c r="H250" s="52"/>
      <c r="J250" s="269">
        <f>SUM(J244:J249)</f>
        <v>0</v>
      </c>
      <c r="K250" s="269">
        <f>SUM(K244:K249)</f>
        <v>0</v>
      </c>
      <c r="L250" s="269">
        <f>SUM(L244:L249)</f>
        <v>0</v>
      </c>
      <c r="N250" s="210" t="s">
        <v>30</v>
      </c>
    </row>
    <row r="251" spans="1:14" ht="21.6" thickTop="1" thickBot="1" x14ac:dyDescent="0.35">
      <c r="A251" s="450"/>
      <c r="B251" s="584" t="s">
        <v>433</v>
      </c>
      <c r="C251" s="623"/>
      <c r="D251" s="294" t="str">
        <f>'1.Initial Parameters'!$D$14</f>
        <v>NO</v>
      </c>
      <c r="E251" s="624"/>
      <c r="F251" s="625"/>
      <c r="G251" s="586" t="s">
        <v>467</v>
      </c>
      <c r="H251" s="52"/>
      <c r="I251" s="272"/>
      <c r="J251" s="272"/>
      <c r="K251" s="272"/>
      <c r="L251" s="272"/>
      <c r="N251" s="210" t="s">
        <v>30</v>
      </c>
    </row>
    <row r="252" spans="1:14" ht="15" thickTop="1" x14ac:dyDescent="0.3">
      <c r="A252" s="450"/>
      <c r="B252" s="607"/>
      <c r="C252" s="507"/>
      <c r="D252" s="599"/>
      <c r="E252" s="501"/>
      <c r="F252" s="608"/>
      <c r="G252" s="503"/>
      <c r="H252" s="52"/>
      <c r="N252" s="210" t="s">
        <v>30</v>
      </c>
    </row>
    <row r="253" spans="1:14" ht="15" thickBot="1" x14ac:dyDescent="0.35">
      <c r="B253" s="607"/>
      <c r="C253" s="507"/>
      <c r="D253" s="599"/>
      <c r="E253" s="501"/>
      <c r="F253" s="608"/>
      <c r="G253" s="503"/>
      <c r="H253" s="52"/>
      <c r="N253" s="210" t="s">
        <v>30</v>
      </c>
    </row>
    <row r="254" spans="1:14" ht="15" thickBot="1" x14ac:dyDescent="0.35">
      <c r="B254" s="626" t="s">
        <v>483</v>
      </c>
      <c r="C254" s="459"/>
      <c r="D254" s="459"/>
      <c r="E254" s="459"/>
      <c r="F254" s="460"/>
      <c r="G254" s="461"/>
      <c r="H254" s="52"/>
      <c r="N254" s="210" t="s">
        <v>30</v>
      </c>
    </row>
    <row r="255" spans="1:14" x14ac:dyDescent="0.3">
      <c r="B255" s="134" t="s">
        <v>819</v>
      </c>
      <c r="C255" s="134" t="s">
        <v>260</v>
      </c>
      <c r="D255" s="134"/>
      <c r="E255" s="134"/>
      <c r="F255" s="135" t="s">
        <v>456</v>
      </c>
      <c r="G255" s="463" t="s">
        <v>251</v>
      </c>
      <c r="H255" s="52"/>
      <c r="J255" s="211" t="s">
        <v>16</v>
      </c>
      <c r="K255" s="212" t="s">
        <v>17</v>
      </c>
      <c r="L255" s="213" t="str">
        <f>'4.TCO Calculation &amp; Comparsion'!$J$3</f>
        <v>VAT included</v>
      </c>
      <c r="N255" s="210" t="s">
        <v>30</v>
      </c>
    </row>
    <row r="256" spans="1:14" x14ac:dyDescent="0.3">
      <c r="B256" s="123" t="s">
        <v>24</v>
      </c>
      <c r="C256" s="507" t="str">
        <f>'1.Initial Parameters'!$D$30</f>
        <v>EURO/infrastructure/year</v>
      </c>
      <c r="D256" s="507"/>
      <c r="E256" s="507"/>
      <c r="F256" s="506">
        <v>0</v>
      </c>
      <c r="G256" s="503" t="s">
        <v>484</v>
      </c>
      <c r="H256" s="52"/>
      <c r="J256" s="275"/>
      <c r="K256" s="276"/>
      <c r="L256" s="216"/>
      <c r="N256" s="210" t="s">
        <v>30</v>
      </c>
    </row>
    <row r="257" spans="2:14" x14ac:dyDescent="0.3">
      <c r="B257" s="627" t="s">
        <v>25</v>
      </c>
      <c r="C257" s="628" t="str">
        <f>'1.Initial Parameters'!$D$31</f>
        <v>EURO/platform/year</v>
      </c>
      <c r="D257" s="628"/>
      <c r="E257" s="628"/>
      <c r="F257" s="446">
        <v>0</v>
      </c>
      <c r="G257" s="629" t="s">
        <v>484</v>
      </c>
      <c r="H257" s="52"/>
      <c r="J257" s="228"/>
      <c r="K257" s="229"/>
      <c r="L257" s="216"/>
      <c r="N257" s="210" t="s">
        <v>30</v>
      </c>
    </row>
    <row r="258" spans="2:14" ht="15" thickBot="1" x14ac:dyDescent="0.35">
      <c r="B258" s="630" t="s">
        <v>26</v>
      </c>
      <c r="C258" s="631" t="str">
        <f>'1.Initial Parameters'!$D$32</f>
        <v>EURO/software/year</v>
      </c>
      <c r="D258" s="631"/>
      <c r="E258" s="631"/>
      <c r="F258" s="632">
        <v>0</v>
      </c>
      <c r="G258" s="633" t="s">
        <v>484</v>
      </c>
      <c r="H258" s="52"/>
      <c r="J258" s="228"/>
      <c r="K258" s="229"/>
      <c r="L258" s="216"/>
      <c r="N258" s="210" t="s">
        <v>30</v>
      </c>
    </row>
    <row r="259" spans="2:14" ht="15.6" thickTop="1" thickBot="1" x14ac:dyDescent="0.35">
      <c r="B259" s="582" t="s">
        <v>522</v>
      </c>
      <c r="C259" s="157"/>
      <c r="D259" s="583"/>
      <c r="E259" s="583"/>
      <c r="F259" s="666">
        <f>SUM(F256:F258)</f>
        <v>0</v>
      </c>
      <c r="G259" s="583"/>
      <c r="H259" s="52"/>
      <c r="I259" s="220" t="s">
        <v>145</v>
      </c>
      <c r="J259" s="228">
        <f>ROUND(IF('1.Initial Parameters'!$D$3=$J$261,F259,F259/(1+$K$260)),0)</f>
        <v>0</v>
      </c>
      <c r="K259" s="229">
        <f>ROUND(IF('1.Initial Parameters'!$D$3=$K$261,F259,F259*(1+$K$260)),0)</f>
        <v>0</v>
      </c>
      <c r="L259" s="216">
        <f>IF($L$261=$J$261,J259,K259)</f>
        <v>0</v>
      </c>
      <c r="N259" s="210" t="s">
        <v>30</v>
      </c>
    </row>
    <row r="260" spans="2:14" ht="21.6" thickTop="1" thickBot="1" x14ac:dyDescent="0.35">
      <c r="B260" s="450"/>
      <c r="C260" s="450"/>
      <c r="D260" s="450"/>
      <c r="E260" s="450"/>
      <c r="F260" s="450"/>
      <c r="G260" s="451"/>
      <c r="H260" s="52"/>
      <c r="J260" s="207" t="s">
        <v>237</v>
      </c>
      <c r="K260" s="277">
        <f>'1.Initial Parameters'!$D$5</f>
        <v>0.21</v>
      </c>
      <c r="L260" s="265" t="s">
        <v>298</v>
      </c>
      <c r="N260" s="210" t="s">
        <v>30</v>
      </c>
    </row>
    <row r="261" spans="2:14" ht="42" thickBot="1" x14ac:dyDescent="0.35">
      <c r="B261" s="634" t="s">
        <v>485</v>
      </c>
      <c r="C261" s="635" t="s">
        <v>260</v>
      </c>
      <c r="D261" s="460"/>
      <c r="E261" s="460"/>
      <c r="F261" s="460" t="str">
        <f>JenotkaMěny</f>
        <v>EURO</v>
      </c>
      <c r="G261" s="460" t="s">
        <v>251</v>
      </c>
      <c r="H261" s="52"/>
      <c r="I261" s="278"/>
      <c r="J261" s="211" t="s">
        <v>16</v>
      </c>
      <c r="K261" s="212" t="s">
        <v>17</v>
      </c>
      <c r="L261" s="213" t="str">
        <f>'4.TCO Calculation &amp; Comparsion'!$J$3</f>
        <v>VAT included</v>
      </c>
      <c r="N261" s="210" t="s">
        <v>30</v>
      </c>
    </row>
    <row r="262" spans="2:14" ht="36" customHeight="1" x14ac:dyDescent="0.3">
      <c r="B262" s="636" t="s">
        <v>486</v>
      </c>
      <c r="C262" s="111" t="str">
        <f>_xlfn.CONCAT("Selection of the ",'1.Initial Parameters'!$D$25," or ",'1.Initial Parameters'!$D$33)</f>
        <v>Selection of the EURO/year or EURO - one time charge</v>
      </c>
      <c r="D262" s="475"/>
      <c r="E262" s="637"/>
      <c r="F262" s="135" t="s">
        <v>456</v>
      </c>
      <c r="G262" s="638" t="s">
        <v>487</v>
      </c>
      <c r="H262" s="52"/>
      <c r="I262" s="278"/>
      <c r="J262" s="275"/>
      <c r="K262" s="276"/>
      <c r="L262" s="216"/>
      <c r="N262" s="210" t="s">
        <v>30</v>
      </c>
    </row>
    <row r="263" spans="2:14" x14ac:dyDescent="0.3">
      <c r="B263" s="639" t="s">
        <v>494</v>
      </c>
      <c r="C263" s="640" t="s">
        <v>492</v>
      </c>
      <c r="D263" s="639"/>
      <c r="E263" s="639"/>
      <c r="F263" s="48">
        <v>0</v>
      </c>
      <c r="G263" s="639" t="s">
        <v>488</v>
      </c>
      <c r="H263" s="52"/>
      <c r="I263" s="279" t="s">
        <v>146</v>
      </c>
      <c r="J263" s="228">
        <f>ROUND(IF('1.Initial Parameters'!$D$3=$J$261,F263,F263/(1+$K$260)),0)</f>
        <v>0</v>
      </c>
      <c r="K263" s="229">
        <f>ROUND(IF('1.Initial Parameters'!$D$3=$K$261,F263,F263*(1+$K$260)),0)</f>
        <v>0</v>
      </c>
      <c r="L263" s="216">
        <f>IF($L$261=$J$261,J263,K263)</f>
        <v>0</v>
      </c>
      <c r="N263" s="210" t="s">
        <v>30</v>
      </c>
    </row>
    <row r="264" spans="2:14" x14ac:dyDescent="0.3">
      <c r="B264" s="639" t="s">
        <v>495</v>
      </c>
      <c r="C264" s="640" t="s">
        <v>492</v>
      </c>
      <c r="D264" s="639"/>
      <c r="E264" s="639"/>
      <c r="F264" s="48">
        <v>0</v>
      </c>
      <c r="G264" s="639" t="s">
        <v>489</v>
      </c>
      <c r="H264" s="52"/>
      <c r="I264" s="278"/>
      <c r="J264" s="228">
        <f>ROUND(IF('1.Initial Parameters'!$D$3=$J$261,F264,F264/(1+$K$260)),0)</f>
        <v>0</v>
      </c>
      <c r="K264" s="229">
        <f>ROUND(IF('1.Initial Parameters'!$D$3=$K$261,F264,F264*(1+$K$260)),0)</f>
        <v>0</v>
      </c>
      <c r="L264" s="216">
        <f t="shared" ref="L264:L283" si="44">IF($L$261=$J$261,J264,K264)</f>
        <v>0</v>
      </c>
      <c r="N264" s="210" t="s">
        <v>30</v>
      </c>
    </row>
    <row r="265" spans="2:14" x14ac:dyDescent="0.3">
      <c r="B265" s="639" t="s">
        <v>496</v>
      </c>
      <c r="C265" s="640" t="s">
        <v>493</v>
      </c>
      <c r="D265" s="639"/>
      <c r="E265" s="639"/>
      <c r="F265" s="48">
        <v>0</v>
      </c>
      <c r="G265" s="639" t="s">
        <v>490</v>
      </c>
      <c r="H265" s="52"/>
      <c r="I265" s="278"/>
      <c r="J265" s="228">
        <f>ROUND(IF('1.Initial Parameters'!$D$3=$J$261,F265,F265/(1+$K$260)),0)</f>
        <v>0</v>
      </c>
      <c r="K265" s="229">
        <f>ROUND(IF('1.Initial Parameters'!$D$3=$K$261,F265,F265*(1+$K$260)),0)</f>
        <v>0</v>
      </c>
      <c r="L265" s="216">
        <f t="shared" si="44"/>
        <v>0</v>
      </c>
      <c r="N265" s="210" t="s">
        <v>30</v>
      </c>
    </row>
    <row r="266" spans="2:14" x14ac:dyDescent="0.3">
      <c r="B266" s="639" t="s">
        <v>497</v>
      </c>
      <c r="C266" s="640" t="s">
        <v>492</v>
      </c>
      <c r="D266" s="639"/>
      <c r="E266" s="639"/>
      <c r="F266" s="48">
        <v>0</v>
      </c>
      <c r="G266" s="639"/>
      <c r="H266" s="52"/>
      <c r="I266" s="278"/>
      <c r="J266" s="228">
        <f>ROUND(IF('1.Initial Parameters'!$D$3=$J$261,F266,F266/(1+$K$260)),0)</f>
        <v>0</v>
      </c>
      <c r="K266" s="229">
        <f>ROUND(IF('1.Initial Parameters'!$D$3=$K$261,F266,F266*(1+$K$260)),0)</f>
        <v>0</v>
      </c>
      <c r="L266" s="216">
        <f t="shared" si="44"/>
        <v>0</v>
      </c>
      <c r="N266" s="210" t="s">
        <v>30</v>
      </c>
    </row>
    <row r="267" spans="2:14" x14ac:dyDescent="0.3">
      <c r="B267" s="639" t="s">
        <v>498</v>
      </c>
      <c r="C267" s="640" t="s">
        <v>493</v>
      </c>
      <c r="D267" s="639"/>
      <c r="E267" s="639"/>
      <c r="F267" s="48">
        <v>0</v>
      </c>
      <c r="G267" s="639" t="s">
        <v>491</v>
      </c>
      <c r="H267" s="52"/>
      <c r="I267" s="278"/>
      <c r="J267" s="228">
        <f>ROUND(IF('1.Initial Parameters'!$D$3=$J$261,F267,F267/(1+$K$260)),0)</f>
        <v>0</v>
      </c>
      <c r="K267" s="229">
        <f>ROUND(IF('1.Initial Parameters'!$D$3=$K$261,F267,F267*(1+$K$260)),0)</f>
        <v>0</v>
      </c>
      <c r="L267" s="216">
        <f t="shared" si="44"/>
        <v>0</v>
      </c>
      <c r="N267" s="210" t="s">
        <v>30</v>
      </c>
    </row>
    <row r="268" spans="2:14" x14ac:dyDescent="0.3">
      <c r="B268" s="639" t="s">
        <v>499</v>
      </c>
      <c r="C268" s="640" t="s">
        <v>492</v>
      </c>
      <c r="D268" s="639"/>
      <c r="E268" s="639"/>
      <c r="F268" s="48">
        <v>0</v>
      </c>
      <c r="G268" s="639"/>
      <c r="H268" s="52"/>
      <c r="I268" s="278"/>
      <c r="J268" s="228">
        <f>ROUND(IF('1.Initial Parameters'!$D$3=$J$261,F268,F268/(1+$K$260)),0)</f>
        <v>0</v>
      </c>
      <c r="K268" s="229">
        <f>ROUND(IF('1.Initial Parameters'!$D$3=$K$261,F268,F268*(1+$K$260)),0)</f>
        <v>0</v>
      </c>
      <c r="L268" s="216">
        <f t="shared" si="44"/>
        <v>0</v>
      </c>
      <c r="N268" s="210" t="s">
        <v>30</v>
      </c>
    </row>
    <row r="269" spans="2:14" x14ac:dyDescent="0.3">
      <c r="B269" s="639" t="s">
        <v>500</v>
      </c>
      <c r="C269" s="640" t="s">
        <v>492</v>
      </c>
      <c r="D269" s="639"/>
      <c r="E269" s="639"/>
      <c r="F269" s="48">
        <v>0</v>
      </c>
      <c r="G269" s="639"/>
      <c r="H269" s="52"/>
      <c r="I269" s="278"/>
      <c r="J269" s="228">
        <f>ROUND(IF('1.Initial Parameters'!$D$3=$J$261,F269,F269/(1+$K$260)),0)</f>
        <v>0</v>
      </c>
      <c r="K269" s="229">
        <f>ROUND(IF('1.Initial Parameters'!$D$3=$K$261,F269,F269*(1+$K$260)),0)</f>
        <v>0</v>
      </c>
      <c r="L269" s="216">
        <f t="shared" si="44"/>
        <v>0</v>
      </c>
      <c r="N269" s="210" t="s">
        <v>30</v>
      </c>
    </row>
    <row r="270" spans="2:14" x14ac:dyDescent="0.3">
      <c r="B270" s="639" t="s">
        <v>501</v>
      </c>
      <c r="C270" s="640" t="s">
        <v>492</v>
      </c>
      <c r="D270" s="639"/>
      <c r="E270" s="639"/>
      <c r="F270" s="48">
        <v>0</v>
      </c>
      <c r="G270" s="639"/>
      <c r="H270" s="52"/>
      <c r="I270" s="278"/>
      <c r="J270" s="228">
        <f>ROUND(IF('1.Initial Parameters'!$D$3=$J$261,F270,F270/(1+$K$260)),0)</f>
        <v>0</v>
      </c>
      <c r="K270" s="229">
        <f>ROUND(IF('1.Initial Parameters'!$D$3=$K$261,F270,F270*(1+$K$260)),0)</f>
        <v>0</v>
      </c>
      <c r="L270" s="216">
        <f t="shared" si="44"/>
        <v>0</v>
      </c>
      <c r="N270" s="210" t="s">
        <v>30</v>
      </c>
    </row>
    <row r="271" spans="2:14" x14ac:dyDescent="0.3">
      <c r="B271" s="639" t="s">
        <v>502</v>
      </c>
      <c r="C271" s="640" t="s">
        <v>492</v>
      </c>
      <c r="D271" s="639"/>
      <c r="E271" s="639"/>
      <c r="F271" s="48">
        <v>0</v>
      </c>
      <c r="G271" s="639"/>
      <c r="H271" s="52"/>
      <c r="I271" s="278"/>
      <c r="J271" s="228">
        <f>ROUND(IF('1.Initial Parameters'!$D$3=$J$261,F271,F271/(1+$K$260)),0)</f>
        <v>0</v>
      </c>
      <c r="K271" s="229">
        <f>ROUND(IF('1.Initial Parameters'!$D$3=$K$261,F271,F271*(1+$K$260)),0)</f>
        <v>0</v>
      </c>
      <c r="L271" s="216">
        <f t="shared" si="44"/>
        <v>0</v>
      </c>
      <c r="N271" s="210" t="s">
        <v>30</v>
      </c>
    </row>
    <row r="272" spans="2:14" ht="15" thickBot="1" x14ac:dyDescent="0.35">
      <c r="B272" s="639" t="s">
        <v>503</v>
      </c>
      <c r="C272" s="640" t="s">
        <v>492</v>
      </c>
      <c r="D272" s="639"/>
      <c r="E272" s="639"/>
      <c r="F272" s="48">
        <v>0</v>
      </c>
      <c r="G272" s="639"/>
      <c r="H272" s="52"/>
      <c r="I272" s="278"/>
      <c r="J272" s="228">
        <f>ROUND(IF('1.Initial Parameters'!$D$3=$J$261,F272,F272/(1+$K$260)),0)</f>
        <v>0</v>
      </c>
      <c r="K272" s="229">
        <f>ROUND(IF('1.Initial Parameters'!$D$3=$K$261,F272,F272*(1+$K$260)),0)</f>
        <v>0</v>
      </c>
      <c r="L272" s="216">
        <f t="shared" si="44"/>
        <v>0</v>
      </c>
      <c r="N272" s="210" t="s">
        <v>30</v>
      </c>
    </row>
    <row r="273" spans="2:14" ht="31.2" thickTop="1" x14ac:dyDescent="0.3">
      <c r="B273" s="641" t="s">
        <v>504</v>
      </c>
      <c r="C273" s="111" t="str">
        <f>_xlfn.CONCAT("Selection of the ",'1.Initial Parameters'!$D$25," or ",'1.Initial Parameters'!$D$33)</f>
        <v>Selection of the EURO/year or EURO - one time charge</v>
      </c>
      <c r="D273" s="642"/>
      <c r="E273" s="643"/>
      <c r="F273" s="644" t="s">
        <v>456</v>
      </c>
      <c r="G273" s="645" t="s">
        <v>516</v>
      </c>
      <c r="H273" s="52"/>
      <c r="I273" s="278"/>
      <c r="J273" s="211" t="s">
        <v>16</v>
      </c>
      <c r="K273" s="212" t="s">
        <v>17</v>
      </c>
      <c r="L273" s="213" t="str">
        <f>'4.TCO Calculation &amp; Comparsion'!$J$3</f>
        <v>VAT included</v>
      </c>
      <c r="N273" s="210" t="s">
        <v>30</v>
      </c>
    </row>
    <row r="274" spans="2:14" x14ac:dyDescent="0.3">
      <c r="B274" s="639" t="s">
        <v>505</v>
      </c>
      <c r="C274" s="640" t="s">
        <v>492</v>
      </c>
      <c r="D274" s="639"/>
      <c r="E274" s="639"/>
      <c r="F274" s="48">
        <v>0</v>
      </c>
      <c r="G274" s="639" t="s">
        <v>489</v>
      </c>
      <c r="H274" s="52"/>
      <c r="I274" s="279" t="s">
        <v>147</v>
      </c>
      <c r="J274" s="214">
        <f t="shared" ref="J274:J283" si="45">F274</f>
        <v>0</v>
      </c>
      <c r="K274" s="215">
        <f t="shared" ref="K274:K283" si="46">F274</f>
        <v>0</v>
      </c>
      <c r="L274" s="216">
        <f t="shared" si="44"/>
        <v>0</v>
      </c>
      <c r="N274" s="210" t="s">
        <v>30</v>
      </c>
    </row>
    <row r="275" spans="2:14" x14ac:dyDescent="0.3">
      <c r="B275" s="639" t="s">
        <v>506</v>
      </c>
      <c r="C275" s="640" t="s">
        <v>493</v>
      </c>
      <c r="D275" s="639"/>
      <c r="E275" s="639"/>
      <c r="F275" s="48">
        <v>0</v>
      </c>
      <c r="G275" s="639"/>
      <c r="H275" s="52"/>
      <c r="I275" s="278"/>
      <c r="J275" s="214">
        <f t="shared" si="45"/>
        <v>0</v>
      </c>
      <c r="K275" s="215">
        <f t="shared" si="46"/>
        <v>0</v>
      </c>
      <c r="L275" s="216">
        <f t="shared" si="44"/>
        <v>0</v>
      </c>
      <c r="N275" s="210" t="s">
        <v>30</v>
      </c>
    </row>
    <row r="276" spans="2:14" x14ac:dyDescent="0.3">
      <c r="B276" s="639" t="s">
        <v>507</v>
      </c>
      <c r="C276" s="640" t="s">
        <v>492</v>
      </c>
      <c r="D276" s="639"/>
      <c r="E276" s="639"/>
      <c r="F276" s="48">
        <v>0</v>
      </c>
      <c r="G276" s="639" t="s">
        <v>515</v>
      </c>
      <c r="H276" s="52"/>
      <c r="I276" s="278"/>
      <c r="J276" s="214">
        <f t="shared" si="45"/>
        <v>0</v>
      </c>
      <c r="K276" s="215">
        <f t="shared" si="46"/>
        <v>0</v>
      </c>
      <c r="L276" s="216">
        <f t="shared" si="44"/>
        <v>0</v>
      </c>
      <c r="N276" s="210" t="s">
        <v>30</v>
      </c>
    </row>
    <row r="277" spans="2:14" x14ac:dyDescent="0.3">
      <c r="B277" s="639" t="s">
        <v>508</v>
      </c>
      <c r="C277" s="640" t="s">
        <v>493</v>
      </c>
      <c r="D277" s="639"/>
      <c r="E277" s="639"/>
      <c r="F277" s="48">
        <v>0</v>
      </c>
      <c r="G277" s="639"/>
      <c r="H277" s="52"/>
      <c r="I277" s="278"/>
      <c r="J277" s="214">
        <f t="shared" si="45"/>
        <v>0</v>
      </c>
      <c r="K277" s="215">
        <f t="shared" si="46"/>
        <v>0</v>
      </c>
      <c r="L277" s="216">
        <f t="shared" si="44"/>
        <v>0</v>
      </c>
      <c r="N277" s="210" t="s">
        <v>30</v>
      </c>
    </row>
    <row r="278" spans="2:14" x14ac:dyDescent="0.3">
      <c r="B278" s="639" t="s">
        <v>509</v>
      </c>
      <c r="C278" s="640" t="s">
        <v>492</v>
      </c>
      <c r="D278" s="639"/>
      <c r="E278" s="639"/>
      <c r="F278" s="48">
        <v>0</v>
      </c>
      <c r="G278" s="639"/>
      <c r="H278" s="52"/>
      <c r="I278" s="278"/>
      <c r="J278" s="214">
        <f t="shared" si="45"/>
        <v>0</v>
      </c>
      <c r="K278" s="215">
        <f t="shared" si="46"/>
        <v>0</v>
      </c>
      <c r="L278" s="216">
        <f t="shared" si="44"/>
        <v>0</v>
      </c>
      <c r="N278" s="210" t="s">
        <v>30</v>
      </c>
    </row>
    <row r="279" spans="2:14" x14ac:dyDescent="0.3">
      <c r="B279" s="639" t="s">
        <v>510</v>
      </c>
      <c r="C279" s="640" t="s">
        <v>492</v>
      </c>
      <c r="D279" s="639"/>
      <c r="E279" s="639"/>
      <c r="F279" s="48">
        <v>0</v>
      </c>
      <c r="G279" s="639"/>
      <c r="H279" s="52"/>
      <c r="I279" s="278"/>
      <c r="J279" s="214">
        <f t="shared" si="45"/>
        <v>0</v>
      </c>
      <c r="K279" s="215">
        <f t="shared" si="46"/>
        <v>0</v>
      </c>
      <c r="L279" s="216">
        <f t="shared" si="44"/>
        <v>0</v>
      </c>
      <c r="N279" s="210" t="s">
        <v>30</v>
      </c>
    </row>
    <row r="280" spans="2:14" x14ac:dyDescent="0.3">
      <c r="B280" s="639" t="s">
        <v>511</v>
      </c>
      <c r="C280" s="640" t="s">
        <v>492</v>
      </c>
      <c r="D280" s="639"/>
      <c r="E280" s="639"/>
      <c r="F280" s="48">
        <v>0</v>
      </c>
      <c r="G280" s="639"/>
      <c r="H280" s="52"/>
      <c r="I280" s="278"/>
      <c r="J280" s="214">
        <f t="shared" si="45"/>
        <v>0</v>
      </c>
      <c r="K280" s="215">
        <f t="shared" si="46"/>
        <v>0</v>
      </c>
      <c r="L280" s="216">
        <f t="shared" si="44"/>
        <v>0</v>
      </c>
      <c r="N280" s="210" t="s">
        <v>30</v>
      </c>
    </row>
    <row r="281" spans="2:14" x14ac:dyDescent="0.3">
      <c r="B281" s="639" t="s">
        <v>512</v>
      </c>
      <c r="C281" s="640" t="s">
        <v>492</v>
      </c>
      <c r="D281" s="639"/>
      <c r="E281" s="639"/>
      <c r="F281" s="48">
        <v>0</v>
      </c>
      <c r="G281" s="639"/>
      <c r="H281" s="52"/>
      <c r="I281" s="278"/>
      <c r="J281" s="214">
        <f t="shared" si="45"/>
        <v>0</v>
      </c>
      <c r="K281" s="215">
        <f t="shared" si="46"/>
        <v>0</v>
      </c>
      <c r="L281" s="216">
        <f t="shared" si="44"/>
        <v>0</v>
      </c>
      <c r="N281" s="210" t="s">
        <v>30</v>
      </c>
    </row>
    <row r="282" spans="2:14" x14ac:dyDescent="0.3">
      <c r="B282" s="639" t="s">
        <v>513</v>
      </c>
      <c r="C282" s="640" t="s">
        <v>493</v>
      </c>
      <c r="D282" s="639"/>
      <c r="E282" s="639"/>
      <c r="F282" s="48">
        <v>0</v>
      </c>
      <c r="G282" s="639"/>
      <c r="H282" s="52"/>
      <c r="I282" s="278"/>
      <c r="J282" s="214">
        <f t="shared" si="45"/>
        <v>0</v>
      </c>
      <c r="K282" s="215">
        <f t="shared" si="46"/>
        <v>0</v>
      </c>
      <c r="L282" s="216">
        <f t="shared" si="44"/>
        <v>0</v>
      </c>
      <c r="N282" s="210" t="s">
        <v>30</v>
      </c>
    </row>
    <row r="283" spans="2:14" ht="15" thickBot="1" x14ac:dyDescent="0.35">
      <c r="B283" s="646" t="s">
        <v>514</v>
      </c>
      <c r="C283" s="647" t="s">
        <v>493</v>
      </c>
      <c r="D283" s="646"/>
      <c r="E283" s="646"/>
      <c r="F283" s="48">
        <v>0</v>
      </c>
      <c r="G283" s="646"/>
      <c r="H283" s="52"/>
      <c r="I283" s="278"/>
      <c r="J283" s="214">
        <f t="shared" si="45"/>
        <v>0</v>
      </c>
      <c r="K283" s="215">
        <f t="shared" si="46"/>
        <v>0</v>
      </c>
      <c r="L283" s="216">
        <f t="shared" si="44"/>
        <v>0</v>
      </c>
      <c r="N283" s="210" t="s">
        <v>30</v>
      </c>
    </row>
    <row r="284" spans="2:14" ht="22.95" customHeight="1" thickTop="1" x14ac:dyDescent="0.3">
      <c r="B284" s="641"/>
      <c r="C284" s="648"/>
      <c r="D284" s="642" t="s">
        <v>352</v>
      </c>
      <c r="E284" s="643"/>
      <c r="F284" s="643"/>
      <c r="G284" s="649"/>
      <c r="H284" s="52"/>
      <c r="I284" s="278"/>
      <c r="J284" s="280"/>
      <c r="K284" s="280"/>
      <c r="L284" s="280"/>
      <c r="N284" s="210" t="s">
        <v>30</v>
      </c>
    </row>
    <row r="285" spans="2:14" ht="25.2" customHeight="1" thickBot="1" x14ac:dyDescent="0.35">
      <c r="B285" s="584" t="s">
        <v>820</v>
      </c>
      <c r="C285" s="585"/>
      <c r="D285" s="294" t="str">
        <f>'1.Initial Parameters'!$D$11</f>
        <v>YES</v>
      </c>
      <c r="E285" s="585"/>
      <c r="F285" s="590"/>
      <c r="G285" s="586" t="s">
        <v>435</v>
      </c>
      <c r="H285" s="52"/>
      <c r="I285" s="278"/>
      <c r="J285" s="278"/>
      <c r="K285" s="278"/>
      <c r="N285" s="210" t="s">
        <v>30</v>
      </c>
    </row>
    <row r="286" spans="2:14" ht="15" thickTop="1" x14ac:dyDescent="0.3">
      <c r="B286" s="650"/>
      <c r="C286" s="651"/>
      <c r="D286" s="639"/>
      <c r="E286" s="652"/>
      <c r="F286" s="639"/>
      <c r="G286" s="639"/>
      <c r="H286" s="52"/>
      <c r="I286" s="278"/>
      <c r="J286" s="719" t="s">
        <v>148</v>
      </c>
      <c r="K286" s="719"/>
      <c r="L286" s="719"/>
    </row>
    <row r="287" spans="2:14" x14ac:dyDescent="0.3">
      <c r="B287" s="653" t="s">
        <v>517</v>
      </c>
      <c r="C287" s="654"/>
      <c r="D287" s="654"/>
      <c r="E287" s="654"/>
      <c r="F287" s="655"/>
      <c r="G287" s="92"/>
      <c r="H287" s="52"/>
      <c r="I287" s="278"/>
      <c r="J287" s="211" t="s">
        <v>16</v>
      </c>
      <c r="K287" s="212" t="s">
        <v>17</v>
      </c>
      <c r="L287" s="213" t="str">
        <f>'4.TCO Calculation &amp; Comparsion'!$J$3</f>
        <v>VAT included</v>
      </c>
    </row>
    <row r="288" spans="2:14" x14ac:dyDescent="0.3">
      <c r="B288" s="298"/>
      <c r="C288" s="721" t="s">
        <v>530</v>
      </c>
      <c r="D288" s="721"/>
      <c r="E288" s="721"/>
      <c r="F288" s="722"/>
      <c r="G288" s="92"/>
      <c r="H288" s="52"/>
      <c r="I288" s="278" t="str">
        <f>'1.Initial Parameters'!D25</f>
        <v>EURO/year</v>
      </c>
      <c r="J288" s="214">
        <f>SUMIFS(J263:J272,$C263:$C272,I288)</f>
        <v>0</v>
      </c>
      <c r="K288" s="215">
        <f>SUMIFS(K263:K272,$C263:$C272,I288)</f>
        <v>0</v>
      </c>
      <c r="L288" s="216">
        <f t="shared" ref="L288" si="47">IF($L$261=$J$261,J288,K288)</f>
        <v>0</v>
      </c>
    </row>
    <row r="289" spans="2:18" x14ac:dyDescent="0.3">
      <c r="B289" s="298" t="s">
        <v>518</v>
      </c>
      <c r="C289" s="300" t="s">
        <v>149</v>
      </c>
      <c r="D289" s="299" t="s">
        <v>150</v>
      </c>
      <c r="E289" s="299"/>
      <c r="F289" s="300" t="s">
        <v>151</v>
      </c>
      <c r="G289" s="92"/>
      <c r="H289" s="52"/>
      <c r="I289" s="278"/>
      <c r="J289" s="719" t="s">
        <v>152</v>
      </c>
      <c r="K289" s="719"/>
      <c r="L289" s="719"/>
    </row>
    <row r="290" spans="2:18" x14ac:dyDescent="0.3">
      <c r="B290" s="301" t="s">
        <v>395</v>
      </c>
      <c r="C290" s="302">
        <f>SUMIFS($F$6:$F$283,$N$6:$N$283,"provoz",$D$6:$D$283,"1")</f>
        <v>0</v>
      </c>
      <c r="D290" s="302">
        <f>SUMIFS($F$6:$F$283,$N$6:$N$283,"provoz",$D$6:$D$283,"2")</f>
        <v>0</v>
      </c>
      <c r="E290" s="303"/>
      <c r="F290" s="302">
        <f>SUMIFS($F$6:$F$283,$N$6:$N$283,"provoz",$D$6:$D$283,"3")</f>
        <v>0</v>
      </c>
      <c r="G290" s="92"/>
      <c r="H290" s="52"/>
      <c r="I290" s="278"/>
      <c r="J290" s="211" t="s">
        <v>16</v>
      </c>
      <c r="K290" s="212" t="s">
        <v>17</v>
      </c>
      <c r="L290" s="213" t="str">
        <f>'4.TCO Calculation &amp; Comparsion'!$J$3</f>
        <v>VAT included</v>
      </c>
    </row>
    <row r="291" spans="2:18" x14ac:dyDescent="0.3">
      <c r="B291" s="301" t="s">
        <v>519</v>
      </c>
      <c r="C291" s="302">
        <f>SUMIFS($F$6:$F$283,$N$6:$N$283,"úpravy",$D$6:$D$283,"1")</f>
        <v>0</v>
      </c>
      <c r="D291" s="302">
        <f>SUMIFS($F$6:$F$283,$N$6:$N$283,"úpravy",$D$6:$D$283,"2")</f>
        <v>0</v>
      </c>
      <c r="E291" s="303"/>
      <c r="F291" s="302">
        <f>SUMIFS($F$6:$F$283,$N$6:$N$283,"úpravy",$D$6:$D$283,"3")</f>
        <v>0</v>
      </c>
      <c r="G291" s="92"/>
      <c r="H291" s="52"/>
      <c r="I291" s="278" t="str">
        <f>'1.Initial Parameters'!D33</f>
        <v>EURO - one time charge</v>
      </c>
      <c r="J291" s="214">
        <f>SUMIFS(J263:J272,$C263:$C272,I291)</f>
        <v>0</v>
      </c>
      <c r="K291" s="215">
        <f>SUMIFS(K263:K272,$C263:$C272,I291)</f>
        <v>0</v>
      </c>
      <c r="L291" s="216">
        <f t="shared" ref="L291" si="48">IF($L$261=$J$261,J291,K291)</f>
        <v>0</v>
      </c>
      <c r="R291" s="656"/>
    </row>
    <row r="292" spans="2:18" x14ac:dyDescent="0.3">
      <c r="B292" s="301" t="s">
        <v>520</v>
      </c>
      <c r="C292" s="302">
        <f>SUMIFS($F$6:$F$283,$N$6:$N$283,"provoz KB",$D$6:$D$283,"1")</f>
        <v>0</v>
      </c>
      <c r="D292" s="302">
        <f>SUMIFS($F$6:$F$283,$N$6:$N$283,"provoz KB",$D$6:$D$283,"2")</f>
        <v>0</v>
      </c>
      <c r="E292" s="303"/>
      <c r="F292" s="302">
        <f>SUMIFS($F$6:$F$283,$N$6:$N$283,"provoz KB",$D$6:$D$283,"3")</f>
        <v>0</v>
      </c>
      <c r="G292" s="92"/>
      <c r="H292" s="52"/>
      <c r="I292" s="278"/>
      <c r="J292" s="278"/>
      <c r="K292" s="278"/>
      <c r="L292" s="281">
        <f>IF(D285="YES",L288,L288+L291/DelkaProjektu)</f>
        <v>0</v>
      </c>
      <c r="N292" s="282"/>
    </row>
    <row r="293" spans="2:18" x14ac:dyDescent="0.3">
      <c r="B293" s="301" t="s">
        <v>521</v>
      </c>
      <c r="C293" s="302">
        <f>SUMIFS($F$6:$F$283,$N$6:$N$283,"provoz zvýšené náklady",$D$6:$D$283,"1")</f>
        <v>0</v>
      </c>
      <c r="D293" s="302">
        <f>SUMIFS($F$6:$F$283,$N$6:$N$283,"provoz zvýšené náklady",$D$6:$D$283,"2")</f>
        <v>0</v>
      </c>
      <c r="E293" s="303"/>
      <c r="F293" s="302">
        <f>SUMIFS($F$6:$F$283,$N$6:$N$283,"provoz zvýšené náklady",$D$6:$D$283,"3")</f>
        <v>0</v>
      </c>
      <c r="G293" s="92"/>
      <c r="H293" s="52"/>
      <c r="I293" s="278"/>
      <c r="J293" s="278"/>
      <c r="K293" s="278"/>
      <c r="L293" s="281"/>
    </row>
    <row r="294" spans="2:18" x14ac:dyDescent="0.3">
      <c r="B294" s="298" t="s">
        <v>522</v>
      </c>
      <c r="C294" s="300">
        <f>SUM(C290:C293)</f>
        <v>0</v>
      </c>
      <c r="D294" s="300">
        <f>SUM(D290:D293)</f>
        <v>0</v>
      </c>
      <c r="E294" s="299"/>
      <c r="F294" s="300">
        <f>SUM(F290:F293)</f>
        <v>0</v>
      </c>
      <c r="G294" s="92"/>
      <c r="H294" s="52"/>
      <c r="I294" s="278"/>
      <c r="J294" s="719" t="s">
        <v>153</v>
      </c>
      <c r="K294" s="719"/>
      <c r="L294" s="719"/>
    </row>
    <row r="295" spans="2:18" x14ac:dyDescent="0.3">
      <c r="B295" s="304" t="s">
        <v>523</v>
      </c>
      <c r="C295" s="305">
        <f>C294/8</f>
        <v>0</v>
      </c>
      <c r="D295" s="305">
        <f t="shared" ref="D295:F295" si="49">D294/8</f>
        <v>0</v>
      </c>
      <c r="E295" s="305"/>
      <c r="F295" s="305">
        <f t="shared" si="49"/>
        <v>0</v>
      </c>
      <c r="G295" s="92"/>
      <c r="H295" s="52"/>
      <c r="I295" s="278"/>
      <c r="J295" s="211" t="s">
        <v>16</v>
      </c>
      <c r="K295" s="212" t="s">
        <v>17</v>
      </c>
      <c r="L295" s="213" t="str">
        <f>'4.TCO Calculation &amp; Comparsion'!$J$3</f>
        <v>VAT included</v>
      </c>
    </row>
    <row r="296" spans="2:18" x14ac:dyDescent="0.3">
      <c r="B296" s="304" t="s">
        <v>524</v>
      </c>
      <c r="C296" s="305">
        <f>C295*DelkaProjektu</f>
        <v>0</v>
      </c>
      <c r="D296" s="305">
        <f>D295*DelkaProjektu</f>
        <v>0</v>
      </c>
      <c r="E296" s="305"/>
      <c r="F296" s="305">
        <f>F295*DelkaProjektu</f>
        <v>0</v>
      </c>
      <c r="G296" s="92"/>
      <c r="H296" s="52"/>
      <c r="I296" s="278" t="str">
        <f>I288</f>
        <v>EURO/year</v>
      </c>
      <c r="J296" s="214">
        <f>SUMIFS(J274:J283,$C274:$C283,I296)</f>
        <v>0</v>
      </c>
      <c r="K296" s="215">
        <f>SUMIFS(K274:K283,$C274:$C283,I296)</f>
        <v>0</v>
      </c>
      <c r="L296" s="216">
        <f t="shared" ref="L296" si="50">IF($L$261=$J$261,J296,K296)</f>
        <v>0</v>
      </c>
      <c r="R296" s="656"/>
    </row>
    <row r="297" spans="2:18" x14ac:dyDescent="0.3">
      <c r="B297" s="306"/>
      <c r="C297" s="723" t="s">
        <v>531</v>
      </c>
      <c r="D297" s="724"/>
      <c r="E297" s="724"/>
      <c r="F297" s="725"/>
      <c r="G297" s="92"/>
      <c r="H297" s="52"/>
      <c r="I297" s="278"/>
      <c r="J297" s="719" t="s">
        <v>154</v>
      </c>
      <c r="K297" s="719"/>
      <c r="L297" s="719"/>
    </row>
    <row r="298" spans="2:18" x14ac:dyDescent="0.3">
      <c r="B298" s="308" t="s">
        <v>525</v>
      </c>
      <c r="C298" s="309" t="s">
        <v>149</v>
      </c>
      <c r="D298" s="307" t="s">
        <v>150</v>
      </c>
      <c r="E298" s="307"/>
      <c r="F298" s="309" t="s">
        <v>151</v>
      </c>
      <c r="G298" s="92"/>
      <c r="H298" s="52"/>
      <c r="I298" s="278"/>
      <c r="J298" s="211" t="s">
        <v>16</v>
      </c>
      <c r="K298" s="212" t="s">
        <v>17</v>
      </c>
      <c r="L298" s="213" t="str">
        <f>'4.TCO Calculation &amp; Comparsion'!$J$3</f>
        <v>VAT included</v>
      </c>
    </row>
    <row r="299" spans="2:18" x14ac:dyDescent="0.3">
      <c r="B299" s="301" t="s">
        <v>526</v>
      </c>
      <c r="C299" s="302">
        <f>SUMIFS($F$6:$F$283,$N$6:$N$283,"jednorázově",$D$6:$D$283,"1")</f>
        <v>0</v>
      </c>
      <c r="D299" s="302">
        <f>SUMIFS($F$6:$F$283,$N$6:$N$283,"jednorázově",$D$6:$D$283,"2")</f>
        <v>0</v>
      </c>
      <c r="E299" s="303"/>
      <c r="F299" s="302">
        <f>SUMIFS($F$6:$F$283,$N$6:$N$283,"jednorázově",$D$6:$D$283,"3")</f>
        <v>0</v>
      </c>
      <c r="G299" s="92"/>
      <c r="H299" s="52"/>
      <c r="I299" s="278" t="str">
        <f>I291</f>
        <v>EURO - one time charge</v>
      </c>
      <c r="J299" s="214">
        <f>SUMIFS(J274:J283,$C274:$C283,I299)</f>
        <v>0</v>
      </c>
      <c r="K299" s="215">
        <f>SUMIFS(K274:K283,$C274:$C283,I299)</f>
        <v>0</v>
      </c>
      <c r="L299" s="216">
        <f t="shared" ref="L299" si="51">IF($L$261=$J$261,J299,K299)</f>
        <v>0</v>
      </c>
    </row>
    <row r="300" spans="2:18" x14ac:dyDescent="0.3">
      <c r="B300" s="301" t="s">
        <v>527</v>
      </c>
      <c r="C300" s="302">
        <f>SUMIFS($F$6:$F$283,$N$6:$N$283,"ukončení",$D$6:$D$283,"1")</f>
        <v>0</v>
      </c>
      <c r="D300" s="302">
        <f>SUMIFS($F$6:$F$283,$N$6:$N$283,"ukončení",$D$6:$D$283,"2")</f>
        <v>0</v>
      </c>
      <c r="E300" s="303"/>
      <c r="F300" s="302">
        <f>SUMIFS($F$6:$F$283,$N$6:$N$283,"ukončení",$D$6:$D$283,"3")</f>
        <v>0</v>
      </c>
      <c r="G300" s="92"/>
      <c r="H300" s="52"/>
      <c r="I300" s="278"/>
      <c r="J300" s="214"/>
      <c r="K300" s="215"/>
      <c r="L300" s="216"/>
    </row>
    <row r="301" spans="2:18" x14ac:dyDescent="0.3">
      <c r="B301" s="308" t="s">
        <v>528</v>
      </c>
      <c r="C301" s="309">
        <f>SUM(C299:C300)</f>
        <v>0</v>
      </c>
      <c r="D301" s="309">
        <f>SUM(D299:D300)</f>
        <v>0</v>
      </c>
      <c r="E301" s="307"/>
      <c r="F301" s="309">
        <f>SUM(F299:F300)</f>
        <v>0</v>
      </c>
      <c r="G301" s="451"/>
      <c r="H301" s="52"/>
      <c r="L301" s="281">
        <f>IF(D285="YES",L296,L296+L299/DelkaProjektu)</f>
        <v>0</v>
      </c>
      <c r="N301" s="282"/>
    </row>
    <row r="302" spans="2:18" x14ac:dyDescent="0.3">
      <c r="B302" s="310" t="s">
        <v>529</v>
      </c>
      <c r="C302" s="311">
        <f>C301/8</f>
        <v>0</v>
      </c>
      <c r="D302" s="311">
        <f t="shared" ref="D302" si="52">D301/8</f>
        <v>0</v>
      </c>
      <c r="E302" s="311"/>
      <c r="F302" s="311">
        <f t="shared" ref="F302" si="53">F301/8</f>
        <v>0</v>
      </c>
      <c r="G302" s="451"/>
      <c r="H302" s="52"/>
    </row>
    <row r="303" spans="2:18" x14ac:dyDescent="0.3">
      <c r="B303" s="615"/>
      <c r="C303" s="615"/>
      <c r="D303" s="615"/>
      <c r="E303" s="615"/>
      <c r="F303" s="615"/>
      <c r="G303" s="451"/>
      <c r="H303" s="52"/>
    </row>
    <row r="304" spans="2:18" x14ac:dyDescent="0.3">
      <c r="B304" s="657"/>
      <c r="C304" s="658"/>
      <c r="D304" s="658"/>
      <c r="E304" s="658"/>
      <c r="F304" s="658"/>
      <c r="G304" s="451"/>
      <c r="H304" s="52"/>
    </row>
    <row r="309" spans="2:12" x14ac:dyDescent="0.3">
      <c r="B309" s="450"/>
      <c r="C309" s="450"/>
      <c r="D309" s="450"/>
      <c r="E309" s="450"/>
      <c r="F309" s="450"/>
      <c r="G309" s="451"/>
      <c r="H309" s="52"/>
      <c r="L309" s="210"/>
    </row>
    <row r="321" spans="7:7" x14ac:dyDescent="0.3">
      <c r="G321" s="451" t="s">
        <v>155</v>
      </c>
    </row>
    <row r="324" spans="7:7" x14ac:dyDescent="0.3">
      <c r="G324" s="451" t="s">
        <v>155</v>
      </c>
    </row>
    <row r="327" spans="7:7" ht="6.75" customHeight="1" x14ac:dyDescent="0.3">
      <c r="G327" s="451"/>
    </row>
  </sheetData>
  <sheetProtection algorithmName="SHA-512" hashValue="HcBDvA4Bq3/WoSDcYgFVG5Mis6gL05OVIrg6yAuctLGlCixD9ZYVv03LAWVB5t99icnaE2tiI5CJL0+C1vjiSQ==" saltValue="FfTAL8+tzYyDGj1w/jeYfA==" spinCount="100000" sheet="1" objects="1" scenarios="1"/>
  <mergeCells count="8">
    <mergeCell ref="J286:L286"/>
    <mergeCell ref="J289:L289"/>
    <mergeCell ref="J294:L294"/>
    <mergeCell ref="J297:L297"/>
    <mergeCell ref="D78:D81"/>
    <mergeCell ref="C288:F288"/>
    <mergeCell ref="C297:F297"/>
    <mergeCell ref="D86:D90"/>
  </mergeCells>
  <phoneticPr fontId="51" type="noConversion"/>
  <dataValidations disablePrompts="1" count="3">
    <dataValidation type="list" allowBlank="1" showInputMessage="1" showErrorMessage="1" sqref="WVH983212:WVI983212 IV65708:IW65708 SR65708:SS65708 ACN65708:ACO65708 AMJ65708:AMK65708 AWF65708:AWG65708 BGB65708:BGC65708 BPX65708:BPY65708 BZT65708:BZU65708 CJP65708:CJQ65708 CTL65708:CTM65708 DDH65708:DDI65708 DND65708:DNE65708 DWZ65708:DXA65708 EGV65708:EGW65708 EQR65708:EQS65708 FAN65708:FAO65708 FKJ65708:FKK65708 FUF65708:FUG65708 GEB65708:GEC65708 GNX65708:GNY65708 GXT65708:GXU65708 HHP65708:HHQ65708 HRL65708:HRM65708 IBH65708:IBI65708 ILD65708:ILE65708 IUZ65708:IVA65708 JEV65708:JEW65708 JOR65708:JOS65708 JYN65708:JYO65708 KIJ65708:KIK65708 KSF65708:KSG65708 LCB65708:LCC65708 LLX65708:LLY65708 LVT65708:LVU65708 MFP65708:MFQ65708 MPL65708:MPM65708 MZH65708:MZI65708 NJD65708:NJE65708 NSZ65708:NTA65708 OCV65708:OCW65708 OMR65708:OMS65708 OWN65708:OWO65708 PGJ65708:PGK65708 PQF65708:PQG65708 QAB65708:QAC65708 QJX65708:QJY65708 QTT65708:QTU65708 RDP65708:RDQ65708 RNL65708:RNM65708 RXH65708:RXI65708 SHD65708:SHE65708 SQZ65708:SRA65708 TAV65708:TAW65708 TKR65708:TKS65708 TUN65708:TUO65708 UEJ65708:UEK65708 UOF65708:UOG65708 UYB65708:UYC65708 VHX65708:VHY65708 VRT65708:VRU65708 WBP65708:WBQ65708 WLL65708:WLM65708 WVH65708:WVI65708 IV131244:IW131244 SR131244:SS131244 ACN131244:ACO131244 AMJ131244:AMK131244 AWF131244:AWG131244 BGB131244:BGC131244 BPX131244:BPY131244 BZT131244:BZU131244 CJP131244:CJQ131244 CTL131244:CTM131244 DDH131244:DDI131244 DND131244:DNE131244 DWZ131244:DXA131244 EGV131244:EGW131244 EQR131244:EQS131244 FAN131244:FAO131244 FKJ131244:FKK131244 FUF131244:FUG131244 GEB131244:GEC131244 GNX131244:GNY131244 GXT131244:GXU131244 HHP131244:HHQ131244 HRL131244:HRM131244 IBH131244:IBI131244 ILD131244:ILE131244 IUZ131244:IVA131244 JEV131244:JEW131244 JOR131244:JOS131244 JYN131244:JYO131244 KIJ131244:KIK131244 KSF131244:KSG131244 LCB131244:LCC131244 LLX131244:LLY131244 LVT131244:LVU131244 MFP131244:MFQ131244 MPL131244:MPM131244 MZH131244:MZI131244 NJD131244:NJE131244 NSZ131244:NTA131244 OCV131244:OCW131244 OMR131244:OMS131244 OWN131244:OWO131244 PGJ131244:PGK131244 PQF131244:PQG131244 QAB131244:QAC131244 QJX131244:QJY131244 QTT131244:QTU131244 RDP131244:RDQ131244 RNL131244:RNM131244 RXH131244:RXI131244 SHD131244:SHE131244 SQZ131244:SRA131244 TAV131244:TAW131244 TKR131244:TKS131244 TUN131244:TUO131244 UEJ131244:UEK131244 UOF131244:UOG131244 UYB131244:UYC131244 VHX131244:VHY131244 VRT131244:VRU131244 WBP131244:WBQ131244 WLL131244:WLM131244 WVH131244:WVI131244 IV196780:IW196780 SR196780:SS196780 ACN196780:ACO196780 AMJ196780:AMK196780 AWF196780:AWG196780 BGB196780:BGC196780 BPX196780:BPY196780 BZT196780:BZU196780 CJP196780:CJQ196780 CTL196780:CTM196780 DDH196780:DDI196780 DND196780:DNE196780 DWZ196780:DXA196780 EGV196780:EGW196780 EQR196780:EQS196780 FAN196780:FAO196780 FKJ196780:FKK196780 FUF196780:FUG196780 GEB196780:GEC196780 GNX196780:GNY196780 GXT196780:GXU196780 HHP196780:HHQ196780 HRL196780:HRM196780 IBH196780:IBI196780 ILD196780:ILE196780 IUZ196780:IVA196780 JEV196780:JEW196780 JOR196780:JOS196780 JYN196780:JYO196780 KIJ196780:KIK196780 KSF196780:KSG196780 LCB196780:LCC196780 LLX196780:LLY196780 LVT196780:LVU196780 MFP196780:MFQ196780 MPL196780:MPM196780 MZH196780:MZI196780 NJD196780:NJE196780 NSZ196780:NTA196780 OCV196780:OCW196780 OMR196780:OMS196780 OWN196780:OWO196780 PGJ196780:PGK196780 PQF196780:PQG196780 QAB196780:QAC196780 QJX196780:QJY196780 QTT196780:QTU196780 RDP196780:RDQ196780 RNL196780:RNM196780 RXH196780:RXI196780 SHD196780:SHE196780 SQZ196780:SRA196780 TAV196780:TAW196780 TKR196780:TKS196780 TUN196780:TUO196780 UEJ196780:UEK196780 UOF196780:UOG196780 UYB196780:UYC196780 VHX196780:VHY196780 VRT196780:VRU196780 WBP196780:WBQ196780 WLL196780:WLM196780 WVH196780:WVI196780 IV262316:IW262316 SR262316:SS262316 ACN262316:ACO262316 AMJ262316:AMK262316 AWF262316:AWG262316 BGB262316:BGC262316 BPX262316:BPY262316 BZT262316:BZU262316 CJP262316:CJQ262316 CTL262316:CTM262316 DDH262316:DDI262316 DND262316:DNE262316 DWZ262316:DXA262316 EGV262316:EGW262316 EQR262316:EQS262316 FAN262316:FAO262316 FKJ262316:FKK262316 FUF262316:FUG262316 GEB262316:GEC262316 GNX262316:GNY262316 GXT262316:GXU262316 HHP262316:HHQ262316 HRL262316:HRM262316 IBH262316:IBI262316 ILD262316:ILE262316 IUZ262316:IVA262316 JEV262316:JEW262316 JOR262316:JOS262316 JYN262316:JYO262316 KIJ262316:KIK262316 KSF262316:KSG262316 LCB262316:LCC262316 LLX262316:LLY262316 LVT262316:LVU262316 MFP262316:MFQ262316 MPL262316:MPM262316 MZH262316:MZI262316 NJD262316:NJE262316 NSZ262316:NTA262316 OCV262316:OCW262316 OMR262316:OMS262316 OWN262316:OWO262316 PGJ262316:PGK262316 PQF262316:PQG262316 QAB262316:QAC262316 QJX262316:QJY262316 QTT262316:QTU262316 RDP262316:RDQ262316 RNL262316:RNM262316 RXH262316:RXI262316 SHD262316:SHE262316 SQZ262316:SRA262316 TAV262316:TAW262316 TKR262316:TKS262316 TUN262316:TUO262316 UEJ262316:UEK262316 UOF262316:UOG262316 UYB262316:UYC262316 VHX262316:VHY262316 VRT262316:VRU262316 WBP262316:WBQ262316 WLL262316:WLM262316 WVH262316:WVI262316 IV327852:IW327852 SR327852:SS327852 ACN327852:ACO327852 AMJ327852:AMK327852 AWF327852:AWG327852 BGB327852:BGC327852 BPX327852:BPY327852 BZT327852:BZU327852 CJP327852:CJQ327852 CTL327852:CTM327852 DDH327852:DDI327852 DND327852:DNE327852 DWZ327852:DXA327852 EGV327852:EGW327852 EQR327852:EQS327852 FAN327852:FAO327852 FKJ327852:FKK327852 FUF327852:FUG327852 GEB327852:GEC327852 GNX327852:GNY327852 GXT327852:GXU327852 HHP327852:HHQ327852 HRL327852:HRM327852 IBH327852:IBI327852 ILD327852:ILE327852 IUZ327852:IVA327852 JEV327852:JEW327852 JOR327852:JOS327852 JYN327852:JYO327852 KIJ327852:KIK327852 KSF327852:KSG327852 LCB327852:LCC327852 LLX327852:LLY327852 LVT327852:LVU327852 MFP327852:MFQ327852 MPL327852:MPM327852 MZH327852:MZI327852 NJD327852:NJE327852 NSZ327852:NTA327852 OCV327852:OCW327852 OMR327852:OMS327852 OWN327852:OWO327852 PGJ327852:PGK327852 PQF327852:PQG327852 QAB327852:QAC327852 QJX327852:QJY327852 QTT327852:QTU327852 RDP327852:RDQ327852 RNL327852:RNM327852 RXH327852:RXI327852 SHD327852:SHE327852 SQZ327852:SRA327852 TAV327852:TAW327852 TKR327852:TKS327852 TUN327852:TUO327852 UEJ327852:UEK327852 UOF327852:UOG327852 UYB327852:UYC327852 VHX327852:VHY327852 VRT327852:VRU327852 WBP327852:WBQ327852 WLL327852:WLM327852 WVH327852:WVI327852 IV393388:IW393388 SR393388:SS393388 ACN393388:ACO393388 AMJ393388:AMK393388 AWF393388:AWG393388 BGB393388:BGC393388 BPX393388:BPY393388 BZT393388:BZU393388 CJP393388:CJQ393388 CTL393388:CTM393388 DDH393388:DDI393388 DND393388:DNE393388 DWZ393388:DXA393388 EGV393388:EGW393388 EQR393388:EQS393388 FAN393388:FAO393388 FKJ393388:FKK393388 FUF393388:FUG393388 GEB393388:GEC393388 GNX393388:GNY393388 GXT393388:GXU393388 HHP393388:HHQ393388 HRL393388:HRM393388 IBH393388:IBI393388 ILD393388:ILE393388 IUZ393388:IVA393388 JEV393388:JEW393388 JOR393388:JOS393388 JYN393388:JYO393388 KIJ393388:KIK393388 KSF393388:KSG393388 LCB393388:LCC393388 LLX393388:LLY393388 LVT393388:LVU393388 MFP393388:MFQ393388 MPL393388:MPM393388 MZH393388:MZI393388 NJD393388:NJE393388 NSZ393388:NTA393388 OCV393388:OCW393388 OMR393388:OMS393388 OWN393388:OWO393388 PGJ393388:PGK393388 PQF393388:PQG393388 QAB393388:QAC393388 QJX393388:QJY393388 QTT393388:QTU393388 RDP393388:RDQ393388 RNL393388:RNM393388 RXH393388:RXI393388 SHD393388:SHE393388 SQZ393388:SRA393388 TAV393388:TAW393388 TKR393388:TKS393388 TUN393388:TUO393388 UEJ393388:UEK393388 UOF393388:UOG393388 UYB393388:UYC393388 VHX393388:VHY393388 VRT393388:VRU393388 WBP393388:WBQ393388 WLL393388:WLM393388 WVH393388:WVI393388 IV458924:IW458924 SR458924:SS458924 ACN458924:ACO458924 AMJ458924:AMK458924 AWF458924:AWG458924 BGB458924:BGC458924 BPX458924:BPY458924 BZT458924:BZU458924 CJP458924:CJQ458924 CTL458924:CTM458924 DDH458924:DDI458924 DND458924:DNE458924 DWZ458924:DXA458924 EGV458924:EGW458924 EQR458924:EQS458924 FAN458924:FAO458924 FKJ458924:FKK458924 FUF458924:FUG458924 GEB458924:GEC458924 GNX458924:GNY458924 GXT458924:GXU458924 HHP458924:HHQ458924 HRL458924:HRM458924 IBH458924:IBI458924 ILD458924:ILE458924 IUZ458924:IVA458924 JEV458924:JEW458924 JOR458924:JOS458924 JYN458924:JYO458924 KIJ458924:KIK458924 KSF458924:KSG458924 LCB458924:LCC458924 LLX458924:LLY458924 LVT458924:LVU458924 MFP458924:MFQ458924 MPL458924:MPM458924 MZH458924:MZI458924 NJD458924:NJE458924 NSZ458924:NTA458924 OCV458924:OCW458924 OMR458924:OMS458924 OWN458924:OWO458924 PGJ458924:PGK458924 PQF458924:PQG458924 QAB458924:QAC458924 QJX458924:QJY458924 QTT458924:QTU458924 RDP458924:RDQ458924 RNL458924:RNM458924 RXH458924:RXI458924 SHD458924:SHE458924 SQZ458924:SRA458924 TAV458924:TAW458924 TKR458924:TKS458924 TUN458924:TUO458924 UEJ458924:UEK458924 UOF458924:UOG458924 UYB458924:UYC458924 VHX458924:VHY458924 VRT458924:VRU458924 WBP458924:WBQ458924 WLL458924:WLM458924 WVH458924:WVI458924 IV524460:IW524460 SR524460:SS524460 ACN524460:ACO524460 AMJ524460:AMK524460 AWF524460:AWG524460 BGB524460:BGC524460 BPX524460:BPY524460 BZT524460:BZU524460 CJP524460:CJQ524460 CTL524460:CTM524460 DDH524460:DDI524460 DND524460:DNE524460 DWZ524460:DXA524460 EGV524460:EGW524460 EQR524460:EQS524460 FAN524460:FAO524460 FKJ524460:FKK524460 FUF524460:FUG524460 GEB524460:GEC524460 GNX524460:GNY524460 GXT524460:GXU524460 HHP524460:HHQ524460 HRL524460:HRM524460 IBH524460:IBI524460 ILD524460:ILE524460 IUZ524460:IVA524460 JEV524460:JEW524460 JOR524460:JOS524460 JYN524460:JYO524460 KIJ524460:KIK524460 KSF524460:KSG524460 LCB524460:LCC524460 LLX524460:LLY524460 LVT524460:LVU524460 MFP524460:MFQ524460 MPL524460:MPM524460 MZH524460:MZI524460 NJD524460:NJE524460 NSZ524460:NTA524460 OCV524460:OCW524460 OMR524460:OMS524460 OWN524460:OWO524460 PGJ524460:PGK524460 PQF524460:PQG524460 QAB524460:QAC524460 QJX524460:QJY524460 QTT524460:QTU524460 RDP524460:RDQ524460 RNL524460:RNM524460 RXH524460:RXI524460 SHD524460:SHE524460 SQZ524460:SRA524460 TAV524460:TAW524460 TKR524460:TKS524460 TUN524460:TUO524460 UEJ524460:UEK524460 UOF524460:UOG524460 UYB524460:UYC524460 VHX524460:VHY524460 VRT524460:VRU524460 WBP524460:WBQ524460 WLL524460:WLM524460 WVH524460:WVI524460 IV589996:IW589996 SR589996:SS589996 ACN589996:ACO589996 AMJ589996:AMK589996 AWF589996:AWG589996 BGB589996:BGC589996 BPX589996:BPY589996 BZT589996:BZU589996 CJP589996:CJQ589996 CTL589996:CTM589996 DDH589996:DDI589996 DND589996:DNE589996 DWZ589996:DXA589996 EGV589996:EGW589996 EQR589996:EQS589996 FAN589996:FAO589996 FKJ589996:FKK589996 FUF589996:FUG589996 GEB589996:GEC589996 GNX589996:GNY589996 GXT589996:GXU589996 HHP589996:HHQ589996 HRL589996:HRM589996 IBH589996:IBI589996 ILD589996:ILE589996 IUZ589996:IVA589996 JEV589996:JEW589996 JOR589996:JOS589996 JYN589996:JYO589996 KIJ589996:KIK589996 KSF589996:KSG589996 LCB589996:LCC589996 LLX589996:LLY589996 LVT589996:LVU589996 MFP589996:MFQ589996 MPL589996:MPM589996 MZH589996:MZI589996 NJD589996:NJE589996 NSZ589996:NTA589996 OCV589996:OCW589996 OMR589996:OMS589996 OWN589996:OWO589996 PGJ589996:PGK589996 PQF589996:PQG589996 QAB589996:QAC589996 QJX589996:QJY589996 QTT589996:QTU589996 RDP589996:RDQ589996 RNL589996:RNM589996 RXH589996:RXI589996 SHD589996:SHE589996 SQZ589996:SRA589996 TAV589996:TAW589996 TKR589996:TKS589996 TUN589996:TUO589996 UEJ589996:UEK589996 UOF589996:UOG589996 UYB589996:UYC589996 VHX589996:VHY589996 VRT589996:VRU589996 WBP589996:WBQ589996 WLL589996:WLM589996 WVH589996:WVI589996 IV655532:IW655532 SR655532:SS655532 ACN655532:ACO655532 AMJ655532:AMK655532 AWF655532:AWG655532 BGB655532:BGC655532 BPX655532:BPY655532 BZT655532:BZU655532 CJP655532:CJQ655532 CTL655532:CTM655532 DDH655532:DDI655532 DND655532:DNE655532 DWZ655532:DXA655532 EGV655532:EGW655532 EQR655532:EQS655532 FAN655532:FAO655532 FKJ655532:FKK655532 FUF655532:FUG655532 GEB655532:GEC655532 GNX655532:GNY655532 GXT655532:GXU655532 HHP655532:HHQ655532 HRL655532:HRM655532 IBH655532:IBI655532 ILD655532:ILE655532 IUZ655532:IVA655532 JEV655532:JEW655532 JOR655532:JOS655532 JYN655532:JYO655532 KIJ655532:KIK655532 KSF655532:KSG655532 LCB655532:LCC655532 LLX655532:LLY655532 LVT655532:LVU655532 MFP655532:MFQ655532 MPL655532:MPM655532 MZH655532:MZI655532 NJD655532:NJE655532 NSZ655532:NTA655532 OCV655532:OCW655532 OMR655532:OMS655532 OWN655532:OWO655532 PGJ655532:PGK655532 PQF655532:PQG655532 QAB655532:QAC655532 QJX655532:QJY655532 QTT655532:QTU655532 RDP655532:RDQ655532 RNL655532:RNM655532 RXH655532:RXI655532 SHD655532:SHE655532 SQZ655532:SRA655532 TAV655532:TAW655532 TKR655532:TKS655532 TUN655532:TUO655532 UEJ655532:UEK655532 UOF655532:UOG655532 UYB655532:UYC655532 VHX655532:VHY655532 VRT655532:VRU655532 WBP655532:WBQ655532 WLL655532:WLM655532 WVH655532:WVI655532 IV721068:IW721068 SR721068:SS721068 ACN721068:ACO721068 AMJ721068:AMK721068 AWF721068:AWG721068 BGB721068:BGC721068 BPX721068:BPY721068 BZT721068:BZU721068 CJP721068:CJQ721068 CTL721068:CTM721068 DDH721068:DDI721068 DND721068:DNE721068 DWZ721068:DXA721068 EGV721068:EGW721068 EQR721068:EQS721068 FAN721068:FAO721068 FKJ721068:FKK721068 FUF721068:FUG721068 GEB721068:GEC721068 GNX721068:GNY721068 GXT721068:GXU721068 HHP721068:HHQ721068 HRL721068:HRM721068 IBH721068:IBI721068 ILD721068:ILE721068 IUZ721068:IVA721068 JEV721068:JEW721068 JOR721068:JOS721068 JYN721068:JYO721068 KIJ721068:KIK721068 KSF721068:KSG721068 LCB721068:LCC721068 LLX721068:LLY721068 LVT721068:LVU721068 MFP721068:MFQ721068 MPL721068:MPM721068 MZH721068:MZI721068 NJD721068:NJE721068 NSZ721068:NTA721068 OCV721068:OCW721068 OMR721068:OMS721068 OWN721068:OWO721068 PGJ721068:PGK721068 PQF721068:PQG721068 QAB721068:QAC721068 QJX721068:QJY721068 QTT721068:QTU721068 RDP721068:RDQ721068 RNL721068:RNM721068 RXH721068:RXI721068 SHD721068:SHE721068 SQZ721068:SRA721068 TAV721068:TAW721068 TKR721068:TKS721068 TUN721068:TUO721068 UEJ721068:UEK721068 UOF721068:UOG721068 UYB721068:UYC721068 VHX721068:VHY721068 VRT721068:VRU721068 WBP721068:WBQ721068 WLL721068:WLM721068 WVH721068:WVI721068 IV786604:IW786604 SR786604:SS786604 ACN786604:ACO786604 AMJ786604:AMK786604 AWF786604:AWG786604 BGB786604:BGC786604 BPX786604:BPY786604 BZT786604:BZU786604 CJP786604:CJQ786604 CTL786604:CTM786604 DDH786604:DDI786604 DND786604:DNE786604 DWZ786604:DXA786604 EGV786604:EGW786604 EQR786604:EQS786604 FAN786604:FAO786604 FKJ786604:FKK786604 FUF786604:FUG786604 GEB786604:GEC786604 GNX786604:GNY786604 GXT786604:GXU786604 HHP786604:HHQ786604 HRL786604:HRM786604 IBH786604:IBI786604 ILD786604:ILE786604 IUZ786604:IVA786604 JEV786604:JEW786604 JOR786604:JOS786604 JYN786604:JYO786604 KIJ786604:KIK786604 KSF786604:KSG786604 LCB786604:LCC786604 LLX786604:LLY786604 LVT786604:LVU786604 MFP786604:MFQ786604 MPL786604:MPM786604 MZH786604:MZI786604 NJD786604:NJE786604 NSZ786604:NTA786604 OCV786604:OCW786604 OMR786604:OMS786604 OWN786604:OWO786604 PGJ786604:PGK786604 PQF786604:PQG786604 QAB786604:QAC786604 QJX786604:QJY786604 QTT786604:QTU786604 RDP786604:RDQ786604 RNL786604:RNM786604 RXH786604:RXI786604 SHD786604:SHE786604 SQZ786604:SRA786604 TAV786604:TAW786604 TKR786604:TKS786604 TUN786604:TUO786604 UEJ786604:UEK786604 UOF786604:UOG786604 UYB786604:UYC786604 VHX786604:VHY786604 VRT786604:VRU786604 WBP786604:WBQ786604 WLL786604:WLM786604 WVH786604:WVI786604 IV852140:IW852140 SR852140:SS852140 ACN852140:ACO852140 AMJ852140:AMK852140 AWF852140:AWG852140 BGB852140:BGC852140 BPX852140:BPY852140 BZT852140:BZU852140 CJP852140:CJQ852140 CTL852140:CTM852140 DDH852140:DDI852140 DND852140:DNE852140 DWZ852140:DXA852140 EGV852140:EGW852140 EQR852140:EQS852140 FAN852140:FAO852140 FKJ852140:FKK852140 FUF852140:FUG852140 GEB852140:GEC852140 GNX852140:GNY852140 GXT852140:GXU852140 HHP852140:HHQ852140 HRL852140:HRM852140 IBH852140:IBI852140 ILD852140:ILE852140 IUZ852140:IVA852140 JEV852140:JEW852140 JOR852140:JOS852140 JYN852140:JYO852140 KIJ852140:KIK852140 KSF852140:KSG852140 LCB852140:LCC852140 LLX852140:LLY852140 LVT852140:LVU852140 MFP852140:MFQ852140 MPL852140:MPM852140 MZH852140:MZI852140 NJD852140:NJE852140 NSZ852140:NTA852140 OCV852140:OCW852140 OMR852140:OMS852140 OWN852140:OWO852140 PGJ852140:PGK852140 PQF852140:PQG852140 QAB852140:QAC852140 QJX852140:QJY852140 QTT852140:QTU852140 RDP852140:RDQ852140 RNL852140:RNM852140 RXH852140:RXI852140 SHD852140:SHE852140 SQZ852140:SRA852140 TAV852140:TAW852140 TKR852140:TKS852140 TUN852140:TUO852140 UEJ852140:UEK852140 UOF852140:UOG852140 UYB852140:UYC852140 VHX852140:VHY852140 VRT852140:VRU852140 WBP852140:WBQ852140 WLL852140:WLM852140 WVH852140:WVI852140 IV917676:IW917676 SR917676:SS917676 ACN917676:ACO917676 AMJ917676:AMK917676 AWF917676:AWG917676 BGB917676:BGC917676 BPX917676:BPY917676 BZT917676:BZU917676 CJP917676:CJQ917676 CTL917676:CTM917676 DDH917676:DDI917676 DND917676:DNE917676 DWZ917676:DXA917676 EGV917676:EGW917676 EQR917676:EQS917676 FAN917676:FAO917676 FKJ917676:FKK917676 FUF917676:FUG917676 GEB917676:GEC917676 GNX917676:GNY917676 GXT917676:GXU917676 HHP917676:HHQ917676 HRL917676:HRM917676 IBH917676:IBI917676 ILD917676:ILE917676 IUZ917676:IVA917676 JEV917676:JEW917676 JOR917676:JOS917676 JYN917676:JYO917676 KIJ917676:KIK917676 KSF917676:KSG917676 LCB917676:LCC917676 LLX917676:LLY917676 LVT917676:LVU917676 MFP917676:MFQ917676 MPL917676:MPM917676 MZH917676:MZI917676 NJD917676:NJE917676 NSZ917676:NTA917676 OCV917676:OCW917676 OMR917676:OMS917676 OWN917676:OWO917676 PGJ917676:PGK917676 PQF917676:PQG917676 QAB917676:QAC917676 QJX917676:QJY917676 QTT917676:QTU917676 RDP917676:RDQ917676 RNL917676:RNM917676 RXH917676:RXI917676 SHD917676:SHE917676 SQZ917676:SRA917676 TAV917676:TAW917676 TKR917676:TKS917676 TUN917676:TUO917676 UEJ917676:UEK917676 UOF917676:UOG917676 UYB917676:UYC917676 VHX917676:VHY917676 VRT917676:VRU917676 WBP917676:WBQ917676 WLL917676:WLM917676 WVH917676:WVI917676 IV983212:IW983212 SR983212:SS983212 ACN983212:ACO983212 AMJ983212:AMK983212 AWF983212:AWG983212 BGB983212:BGC983212 BPX983212:BPY983212 BZT983212:BZU983212 CJP983212:CJQ983212 CTL983212:CTM983212 DDH983212:DDI983212 DND983212:DNE983212 DWZ983212:DXA983212 EGV983212:EGW983212 EQR983212:EQS983212 FAN983212:FAO983212 FKJ983212:FKK983212 FUF983212:FUG983212 GEB983212:GEC983212 GNX983212:GNY983212 GXT983212:GXU983212 HHP983212:HHQ983212 HRL983212:HRM983212 IBH983212:IBI983212 ILD983212:ILE983212 IUZ983212:IVA983212 JEV983212:JEW983212 JOR983212:JOS983212 JYN983212:JYO983212 KIJ983212:KIK983212 KSF983212:KSG983212 LCB983212:LCC983212 LLX983212:LLY983212 LVT983212:LVU983212 MFP983212:MFQ983212 MPL983212:MPM983212 MZH983212:MZI983212 NJD983212:NJE983212 NSZ983212:NTA983212 OCV983212:OCW983212 OMR983212:OMS983212 OWN983212:OWO983212 PGJ983212:PGK983212 PQF983212:PQG983212 QAB983212:QAC983212 QJX983212:QJY983212 QTT983212:QTU983212 RDP983212:RDQ983212 RNL983212:RNM983212 RXH983212:RXI983212 SHD983212:SHE983212 SQZ983212:SRA983212 TAV983212:TAW983212 TKR983212:TKS983212 TUN983212:TUO983212 UEJ983212:UEK983212 UOF983212:UOG983212 UYB983212:UYC983212 VHX983212:VHY983212 VRT983212:VRU983212 WBP983212:WBQ983212 WLL983212:WLM983212" xr:uid="{00000000-0002-0000-0200-000000000000}">
      <formula1>YesNo</formula1>
    </dataValidation>
    <dataValidation type="list" allowBlank="1" showInputMessage="1" showErrorMessage="1" sqref="D228 D233 D249 D230 D226 D224 D111 D236 D214 D240:D242 D247 D252:D253 D218 D216 D245 D238 D212 D221" xr:uid="{00000000-0002-0000-0200-000002000000}">
      <formula1>AnoNe</formula1>
    </dataValidation>
    <dataValidation type="list" allowBlank="1" showInputMessage="1" showErrorMessage="1" sqref="D125:D127 D248 D167 D169 D43 D237 D211 D213 D215 D217 D223 D225 D227 D229 D235 D239 D244 D246 D155:D157 D51 D34 D60 D95 D133:D146 D148 D182 D176 D178 D180 D184 D186 D188 D190 D192 D194 D196 D198 D200 D202 D204" xr:uid="{00000000-0002-0000-0200-000003000000}">
      <formula1>Typrole</formula1>
    </dataValidation>
  </dataValidations>
  <printOptions horizontalCentered="1"/>
  <pageMargins left="0" right="0" top="0.55118110236220474" bottom="0.35433070866141736" header="0" footer="0.15748031496062992"/>
  <pageSetup paperSize="9" scale="60" fitToHeight="2" orientation="portrait" r:id="rId1"/>
  <headerFooter>
    <oddFooter>&amp;L&amp;"Calibri,Obyčejné"&amp;9ON premise řešení - vstupy&amp;C&amp;"Calibri,Obyčejné"&amp;9&amp;P/&amp;N</oddFooter>
  </headerFooter>
  <rowBreaks count="1" manualBreakCount="1">
    <brk id="162" max="7"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B19ACFF-663A-429F-9271-95EEBB29F341}">
          <x14:formula1>
            <xm:f>'tabulky-schovat'!$A$18:$A$19</xm:f>
          </x14:formula1>
          <xm:sqref>C274:C284 C263:C272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Sheet4">
    <tabColor rgb="FF66FFFF"/>
    <pageSetUpPr fitToPage="1"/>
  </sheetPr>
  <dimension ref="A1:P281"/>
  <sheetViews>
    <sheetView topLeftCell="A171" zoomScaleNormal="100" workbookViewId="0">
      <selection activeCell="R173" sqref="R173"/>
    </sheetView>
  </sheetViews>
  <sheetFormatPr defaultColWidth="7.59765625" defaultRowHeight="14.4" outlineLevelCol="1" x14ac:dyDescent="0.3"/>
  <cols>
    <col min="1" max="1" width="1.5" style="654" customWidth="1"/>
    <col min="2" max="2" width="45.3984375" style="654" customWidth="1"/>
    <col min="3" max="3" width="27" style="654" customWidth="1"/>
    <col min="4" max="4" width="15.5" style="654" customWidth="1"/>
    <col min="5" max="5" width="8.59765625" style="654" hidden="1" customWidth="1" outlineLevel="1"/>
    <col min="6" max="6" width="13" style="655" bestFit="1" customWidth="1" collapsed="1"/>
    <col min="7" max="7" width="53.59765625" style="667" customWidth="1"/>
    <col min="8" max="8" width="2" style="4" customWidth="1"/>
    <col min="9" max="9" width="13.69921875" style="27" hidden="1" customWidth="1" outlineLevel="1"/>
    <col min="10" max="12" width="10.19921875" style="1" hidden="1" customWidth="1" outlineLevel="1"/>
    <col min="13" max="13" width="1.5" style="1" hidden="1" customWidth="1" outlineLevel="1"/>
    <col min="14" max="14" width="7.59765625" style="1" hidden="1" customWidth="1" outlineLevel="1"/>
    <col min="15" max="15" width="8.69921875" style="1" hidden="1" customWidth="1" outlineLevel="1"/>
    <col min="16" max="16" width="7.59765625" style="1" collapsed="1"/>
    <col min="17" max="250" width="7.59765625" style="668"/>
    <col min="251" max="251" width="44.09765625" style="668" customWidth="1"/>
    <col min="252" max="252" width="16.3984375" style="668" customWidth="1"/>
    <col min="253" max="253" width="10.59765625" style="668" customWidth="1"/>
    <col min="254" max="254" width="13.09765625" style="668" customWidth="1"/>
    <col min="255" max="255" width="11.5" style="668" bestFit="1" customWidth="1"/>
    <col min="256" max="256" width="30.59765625" style="668" customWidth="1"/>
    <col min="257" max="506" width="7.59765625" style="668"/>
    <col min="507" max="507" width="44.09765625" style="668" customWidth="1"/>
    <col min="508" max="508" width="16.3984375" style="668" customWidth="1"/>
    <col min="509" max="509" width="10.59765625" style="668" customWidth="1"/>
    <col min="510" max="510" width="13.09765625" style="668" customWidth="1"/>
    <col min="511" max="511" width="11.5" style="668" bestFit="1" customWidth="1"/>
    <col min="512" max="512" width="30.59765625" style="668" customWidth="1"/>
    <col min="513" max="762" width="7.59765625" style="668"/>
    <col min="763" max="763" width="44.09765625" style="668" customWidth="1"/>
    <col min="764" max="764" width="16.3984375" style="668" customWidth="1"/>
    <col min="765" max="765" width="10.59765625" style="668" customWidth="1"/>
    <col min="766" max="766" width="13.09765625" style="668" customWidth="1"/>
    <col min="767" max="767" width="11.5" style="668" bestFit="1" customWidth="1"/>
    <col min="768" max="768" width="30.59765625" style="668" customWidth="1"/>
    <col min="769" max="1018" width="7.59765625" style="668"/>
    <col min="1019" max="1019" width="44.09765625" style="668" customWidth="1"/>
    <col min="1020" max="1020" width="16.3984375" style="668" customWidth="1"/>
    <col min="1021" max="1021" width="10.59765625" style="668" customWidth="1"/>
    <col min="1022" max="1022" width="13.09765625" style="668" customWidth="1"/>
    <col min="1023" max="1023" width="11.5" style="668" bestFit="1" customWidth="1"/>
    <col min="1024" max="1024" width="30.59765625" style="668" customWidth="1"/>
    <col min="1025" max="1274" width="7.59765625" style="668"/>
    <col min="1275" max="1275" width="44.09765625" style="668" customWidth="1"/>
    <col min="1276" max="1276" width="16.3984375" style="668" customWidth="1"/>
    <col min="1277" max="1277" width="10.59765625" style="668" customWidth="1"/>
    <col min="1278" max="1278" width="13.09765625" style="668" customWidth="1"/>
    <col min="1279" max="1279" width="11.5" style="668" bestFit="1" customWidth="1"/>
    <col min="1280" max="1280" width="30.59765625" style="668" customWidth="1"/>
    <col min="1281" max="1530" width="7.59765625" style="668"/>
    <col min="1531" max="1531" width="44.09765625" style="668" customWidth="1"/>
    <col min="1532" max="1532" width="16.3984375" style="668" customWidth="1"/>
    <col min="1533" max="1533" width="10.59765625" style="668" customWidth="1"/>
    <col min="1534" max="1534" width="13.09765625" style="668" customWidth="1"/>
    <col min="1535" max="1535" width="11.5" style="668" bestFit="1" customWidth="1"/>
    <col min="1536" max="1536" width="30.59765625" style="668" customWidth="1"/>
    <col min="1537" max="1786" width="7.59765625" style="668"/>
    <col min="1787" max="1787" width="44.09765625" style="668" customWidth="1"/>
    <col min="1788" max="1788" width="16.3984375" style="668" customWidth="1"/>
    <col min="1789" max="1789" width="10.59765625" style="668" customWidth="1"/>
    <col min="1790" max="1790" width="13.09765625" style="668" customWidth="1"/>
    <col min="1791" max="1791" width="11.5" style="668" bestFit="1" customWidth="1"/>
    <col min="1792" max="1792" width="30.59765625" style="668" customWidth="1"/>
    <col min="1793" max="2042" width="7.59765625" style="668"/>
    <col min="2043" max="2043" width="44.09765625" style="668" customWidth="1"/>
    <col min="2044" max="2044" width="16.3984375" style="668" customWidth="1"/>
    <col min="2045" max="2045" width="10.59765625" style="668" customWidth="1"/>
    <col min="2046" max="2046" width="13.09765625" style="668" customWidth="1"/>
    <col min="2047" max="2047" width="11.5" style="668" bestFit="1" customWidth="1"/>
    <col min="2048" max="2048" width="30.59765625" style="668" customWidth="1"/>
    <col min="2049" max="2298" width="7.59765625" style="668"/>
    <col min="2299" max="2299" width="44.09765625" style="668" customWidth="1"/>
    <col min="2300" max="2300" width="16.3984375" style="668" customWidth="1"/>
    <col min="2301" max="2301" width="10.59765625" style="668" customWidth="1"/>
    <col min="2302" max="2302" width="13.09765625" style="668" customWidth="1"/>
    <col min="2303" max="2303" width="11.5" style="668" bestFit="1" customWidth="1"/>
    <col min="2304" max="2304" width="30.59765625" style="668" customWidth="1"/>
    <col min="2305" max="2554" width="7.59765625" style="668"/>
    <col min="2555" max="2555" width="44.09765625" style="668" customWidth="1"/>
    <col min="2556" max="2556" width="16.3984375" style="668" customWidth="1"/>
    <col min="2557" max="2557" width="10.59765625" style="668" customWidth="1"/>
    <col min="2558" max="2558" width="13.09765625" style="668" customWidth="1"/>
    <col min="2559" max="2559" width="11.5" style="668" bestFit="1" customWidth="1"/>
    <col min="2560" max="2560" width="30.59765625" style="668" customWidth="1"/>
    <col min="2561" max="2810" width="7.59765625" style="668"/>
    <col min="2811" max="2811" width="44.09765625" style="668" customWidth="1"/>
    <col min="2812" max="2812" width="16.3984375" style="668" customWidth="1"/>
    <col min="2813" max="2813" width="10.59765625" style="668" customWidth="1"/>
    <col min="2814" max="2814" width="13.09765625" style="668" customWidth="1"/>
    <col min="2815" max="2815" width="11.5" style="668" bestFit="1" customWidth="1"/>
    <col min="2816" max="2816" width="30.59765625" style="668" customWidth="1"/>
    <col min="2817" max="3066" width="7.59765625" style="668"/>
    <col min="3067" max="3067" width="44.09765625" style="668" customWidth="1"/>
    <col min="3068" max="3068" width="16.3984375" style="668" customWidth="1"/>
    <col min="3069" max="3069" width="10.59765625" style="668" customWidth="1"/>
    <col min="3070" max="3070" width="13.09765625" style="668" customWidth="1"/>
    <col min="3071" max="3071" width="11.5" style="668" bestFit="1" customWidth="1"/>
    <col min="3072" max="3072" width="30.59765625" style="668" customWidth="1"/>
    <col min="3073" max="3322" width="7.59765625" style="668"/>
    <col min="3323" max="3323" width="44.09765625" style="668" customWidth="1"/>
    <col min="3324" max="3324" width="16.3984375" style="668" customWidth="1"/>
    <col min="3325" max="3325" width="10.59765625" style="668" customWidth="1"/>
    <col min="3326" max="3326" width="13.09765625" style="668" customWidth="1"/>
    <col min="3327" max="3327" width="11.5" style="668" bestFit="1" customWidth="1"/>
    <col min="3328" max="3328" width="30.59765625" style="668" customWidth="1"/>
    <col min="3329" max="3578" width="7.59765625" style="668"/>
    <col min="3579" max="3579" width="44.09765625" style="668" customWidth="1"/>
    <col min="3580" max="3580" width="16.3984375" style="668" customWidth="1"/>
    <col min="3581" max="3581" width="10.59765625" style="668" customWidth="1"/>
    <col min="3582" max="3582" width="13.09765625" style="668" customWidth="1"/>
    <col min="3583" max="3583" width="11.5" style="668" bestFit="1" customWidth="1"/>
    <col min="3584" max="3584" width="30.59765625" style="668" customWidth="1"/>
    <col min="3585" max="3834" width="7.59765625" style="668"/>
    <col min="3835" max="3835" width="44.09765625" style="668" customWidth="1"/>
    <col min="3836" max="3836" width="16.3984375" style="668" customWidth="1"/>
    <col min="3837" max="3837" width="10.59765625" style="668" customWidth="1"/>
    <col min="3838" max="3838" width="13.09765625" style="668" customWidth="1"/>
    <col min="3839" max="3839" width="11.5" style="668" bestFit="1" customWidth="1"/>
    <col min="3840" max="3840" width="30.59765625" style="668" customWidth="1"/>
    <col min="3841" max="4090" width="7.59765625" style="668"/>
    <col min="4091" max="4091" width="44.09765625" style="668" customWidth="1"/>
    <col min="4092" max="4092" width="16.3984375" style="668" customWidth="1"/>
    <col min="4093" max="4093" width="10.59765625" style="668" customWidth="1"/>
    <col min="4094" max="4094" width="13.09765625" style="668" customWidth="1"/>
    <col min="4095" max="4095" width="11.5" style="668" bestFit="1" customWidth="1"/>
    <col min="4096" max="4096" width="30.59765625" style="668" customWidth="1"/>
    <col min="4097" max="4346" width="7.59765625" style="668"/>
    <col min="4347" max="4347" width="44.09765625" style="668" customWidth="1"/>
    <col min="4348" max="4348" width="16.3984375" style="668" customWidth="1"/>
    <col min="4349" max="4349" width="10.59765625" style="668" customWidth="1"/>
    <col min="4350" max="4350" width="13.09765625" style="668" customWidth="1"/>
    <col min="4351" max="4351" width="11.5" style="668" bestFit="1" customWidth="1"/>
    <col min="4352" max="4352" width="30.59765625" style="668" customWidth="1"/>
    <col min="4353" max="4602" width="7.59765625" style="668"/>
    <col min="4603" max="4603" width="44.09765625" style="668" customWidth="1"/>
    <col min="4604" max="4604" width="16.3984375" style="668" customWidth="1"/>
    <col min="4605" max="4605" width="10.59765625" style="668" customWidth="1"/>
    <col min="4606" max="4606" width="13.09765625" style="668" customWidth="1"/>
    <col min="4607" max="4607" width="11.5" style="668" bestFit="1" customWidth="1"/>
    <col min="4608" max="4608" width="30.59765625" style="668" customWidth="1"/>
    <col min="4609" max="4858" width="7.59765625" style="668"/>
    <col min="4859" max="4859" width="44.09765625" style="668" customWidth="1"/>
    <col min="4860" max="4860" width="16.3984375" style="668" customWidth="1"/>
    <col min="4861" max="4861" width="10.59765625" style="668" customWidth="1"/>
    <col min="4862" max="4862" width="13.09765625" style="668" customWidth="1"/>
    <col min="4863" max="4863" width="11.5" style="668" bestFit="1" customWidth="1"/>
    <col min="4864" max="4864" width="30.59765625" style="668" customWidth="1"/>
    <col min="4865" max="5114" width="7.59765625" style="668"/>
    <col min="5115" max="5115" width="44.09765625" style="668" customWidth="1"/>
    <col min="5116" max="5116" width="16.3984375" style="668" customWidth="1"/>
    <col min="5117" max="5117" width="10.59765625" style="668" customWidth="1"/>
    <col min="5118" max="5118" width="13.09765625" style="668" customWidth="1"/>
    <col min="5119" max="5119" width="11.5" style="668" bestFit="1" customWidth="1"/>
    <col min="5120" max="5120" width="30.59765625" style="668" customWidth="1"/>
    <col min="5121" max="5370" width="7.59765625" style="668"/>
    <col min="5371" max="5371" width="44.09765625" style="668" customWidth="1"/>
    <col min="5372" max="5372" width="16.3984375" style="668" customWidth="1"/>
    <col min="5373" max="5373" width="10.59765625" style="668" customWidth="1"/>
    <col min="5374" max="5374" width="13.09765625" style="668" customWidth="1"/>
    <col min="5375" max="5375" width="11.5" style="668" bestFit="1" customWidth="1"/>
    <col min="5376" max="5376" width="30.59765625" style="668" customWidth="1"/>
    <col min="5377" max="5626" width="7.59765625" style="668"/>
    <col min="5627" max="5627" width="44.09765625" style="668" customWidth="1"/>
    <col min="5628" max="5628" width="16.3984375" style="668" customWidth="1"/>
    <col min="5629" max="5629" width="10.59765625" style="668" customWidth="1"/>
    <col min="5630" max="5630" width="13.09765625" style="668" customWidth="1"/>
    <col min="5631" max="5631" width="11.5" style="668" bestFit="1" customWidth="1"/>
    <col min="5632" max="5632" width="30.59765625" style="668" customWidth="1"/>
    <col min="5633" max="5882" width="7.59765625" style="668"/>
    <col min="5883" max="5883" width="44.09765625" style="668" customWidth="1"/>
    <col min="5884" max="5884" width="16.3984375" style="668" customWidth="1"/>
    <col min="5885" max="5885" width="10.59765625" style="668" customWidth="1"/>
    <col min="5886" max="5886" width="13.09765625" style="668" customWidth="1"/>
    <col min="5887" max="5887" width="11.5" style="668" bestFit="1" customWidth="1"/>
    <col min="5888" max="5888" width="30.59765625" style="668" customWidth="1"/>
    <col min="5889" max="6138" width="7.59765625" style="668"/>
    <col min="6139" max="6139" width="44.09765625" style="668" customWidth="1"/>
    <col min="6140" max="6140" width="16.3984375" style="668" customWidth="1"/>
    <col min="6141" max="6141" width="10.59765625" style="668" customWidth="1"/>
    <col min="6142" max="6142" width="13.09765625" style="668" customWidth="1"/>
    <col min="6143" max="6143" width="11.5" style="668" bestFit="1" customWidth="1"/>
    <col min="6144" max="6144" width="30.59765625" style="668" customWidth="1"/>
    <col min="6145" max="6394" width="7.59765625" style="668"/>
    <col min="6395" max="6395" width="44.09765625" style="668" customWidth="1"/>
    <col min="6396" max="6396" width="16.3984375" style="668" customWidth="1"/>
    <col min="6397" max="6397" width="10.59765625" style="668" customWidth="1"/>
    <col min="6398" max="6398" width="13.09765625" style="668" customWidth="1"/>
    <col min="6399" max="6399" width="11.5" style="668" bestFit="1" customWidth="1"/>
    <col min="6400" max="6400" width="30.59765625" style="668" customWidth="1"/>
    <col min="6401" max="6650" width="7.59765625" style="668"/>
    <col min="6651" max="6651" width="44.09765625" style="668" customWidth="1"/>
    <col min="6652" max="6652" width="16.3984375" style="668" customWidth="1"/>
    <col min="6653" max="6653" width="10.59765625" style="668" customWidth="1"/>
    <col min="6654" max="6654" width="13.09765625" style="668" customWidth="1"/>
    <col min="6655" max="6655" width="11.5" style="668" bestFit="1" customWidth="1"/>
    <col min="6656" max="6656" width="30.59765625" style="668" customWidth="1"/>
    <col min="6657" max="6906" width="7.59765625" style="668"/>
    <col min="6907" max="6907" width="44.09765625" style="668" customWidth="1"/>
    <col min="6908" max="6908" width="16.3984375" style="668" customWidth="1"/>
    <col min="6909" max="6909" width="10.59765625" style="668" customWidth="1"/>
    <col min="6910" max="6910" width="13.09765625" style="668" customWidth="1"/>
    <col min="6911" max="6911" width="11.5" style="668" bestFit="1" customWidth="1"/>
    <col min="6912" max="6912" width="30.59765625" style="668" customWidth="1"/>
    <col min="6913" max="7162" width="7.59765625" style="668"/>
    <col min="7163" max="7163" width="44.09765625" style="668" customWidth="1"/>
    <col min="7164" max="7164" width="16.3984375" style="668" customWidth="1"/>
    <col min="7165" max="7165" width="10.59765625" style="668" customWidth="1"/>
    <col min="7166" max="7166" width="13.09765625" style="668" customWidth="1"/>
    <col min="7167" max="7167" width="11.5" style="668" bestFit="1" customWidth="1"/>
    <col min="7168" max="7168" width="30.59765625" style="668" customWidth="1"/>
    <col min="7169" max="7418" width="7.59765625" style="668"/>
    <col min="7419" max="7419" width="44.09765625" style="668" customWidth="1"/>
    <col min="7420" max="7420" width="16.3984375" style="668" customWidth="1"/>
    <col min="7421" max="7421" width="10.59765625" style="668" customWidth="1"/>
    <col min="7422" max="7422" width="13.09765625" style="668" customWidth="1"/>
    <col min="7423" max="7423" width="11.5" style="668" bestFit="1" customWidth="1"/>
    <col min="7424" max="7424" width="30.59765625" style="668" customWidth="1"/>
    <col min="7425" max="7674" width="7.59765625" style="668"/>
    <col min="7675" max="7675" width="44.09765625" style="668" customWidth="1"/>
    <col min="7676" max="7676" width="16.3984375" style="668" customWidth="1"/>
    <col min="7677" max="7677" width="10.59765625" style="668" customWidth="1"/>
    <col min="7678" max="7678" width="13.09765625" style="668" customWidth="1"/>
    <col min="7679" max="7679" width="11.5" style="668" bestFit="1" customWidth="1"/>
    <col min="7680" max="7680" width="30.59765625" style="668" customWidth="1"/>
    <col min="7681" max="7930" width="7.59765625" style="668"/>
    <col min="7931" max="7931" width="44.09765625" style="668" customWidth="1"/>
    <col min="7932" max="7932" width="16.3984375" style="668" customWidth="1"/>
    <col min="7933" max="7933" width="10.59765625" style="668" customWidth="1"/>
    <col min="7934" max="7934" width="13.09765625" style="668" customWidth="1"/>
    <col min="7935" max="7935" width="11.5" style="668" bestFit="1" customWidth="1"/>
    <col min="7936" max="7936" width="30.59765625" style="668" customWidth="1"/>
    <col min="7937" max="8186" width="7.59765625" style="668"/>
    <col min="8187" max="8187" width="44.09765625" style="668" customWidth="1"/>
    <col min="8188" max="8188" width="16.3984375" style="668" customWidth="1"/>
    <col min="8189" max="8189" width="10.59765625" style="668" customWidth="1"/>
    <col min="8190" max="8190" width="13.09765625" style="668" customWidth="1"/>
    <col min="8191" max="8191" width="11.5" style="668" bestFit="1" customWidth="1"/>
    <col min="8192" max="8192" width="30.59765625" style="668" customWidth="1"/>
    <col min="8193" max="8442" width="7.59765625" style="668"/>
    <col min="8443" max="8443" width="44.09765625" style="668" customWidth="1"/>
    <col min="8444" max="8444" width="16.3984375" style="668" customWidth="1"/>
    <col min="8445" max="8445" width="10.59765625" style="668" customWidth="1"/>
    <col min="8446" max="8446" width="13.09765625" style="668" customWidth="1"/>
    <col min="8447" max="8447" width="11.5" style="668" bestFit="1" customWidth="1"/>
    <col min="8448" max="8448" width="30.59765625" style="668" customWidth="1"/>
    <col min="8449" max="8698" width="7.59765625" style="668"/>
    <col min="8699" max="8699" width="44.09765625" style="668" customWidth="1"/>
    <col min="8700" max="8700" width="16.3984375" style="668" customWidth="1"/>
    <col min="8701" max="8701" width="10.59765625" style="668" customWidth="1"/>
    <col min="8702" max="8702" width="13.09765625" style="668" customWidth="1"/>
    <col min="8703" max="8703" width="11.5" style="668" bestFit="1" customWidth="1"/>
    <col min="8704" max="8704" width="30.59765625" style="668" customWidth="1"/>
    <col min="8705" max="8954" width="7.59765625" style="668"/>
    <col min="8955" max="8955" width="44.09765625" style="668" customWidth="1"/>
    <col min="8956" max="8956" width="16.3984375" style="668" customWidth="1"/>
    <col min="8957" max="8957" width="10.59765625" style="668" customWidth="1"/>
    <col min="8958" max="8958" width="13.09765625" style="668" customWidth="1"/>
    <col min="8959" max="8959" width="11.5" style="668" bestFit="1" customWidth="1"/>
    <col min="8960" max="8960" width="30.59765625" style="668" customWidth="1"/>
    <col min="8961" max="9210" width="7.59765625" style="668"/>
    <col min="9211" max="9211" width="44.09765625" style="668" customWidth="1"/>
    <col min="9212" max="9212" width="16.3984375" style="668" customWidth="1"/>
    <col min="9213" max="9213" width="10.59765625" style="668" customWidth="1"/>
    <col min="9214" max="9214" width="13.09765625" style="668" customWidth="1"/>
    <col min="9215" max="9215" width="11.5" style="668" bestFit="1" customWidth="1"/>
    <col min="9216" max="9216" width="30.59765625" style="668" customWidth="1"/>
    <col min="9217" max="9466" width="7.59765625" style="668"/>
    <col min="9467" max="9467" width="44.09765625" style="668" customWidth="1"/>
    <col min="9468" max="9468" width="16.3984375" style="668" customWidth="1"/>
    <col min="9469" max="9469" width="10.59765625" style="668" customWidth="1"/>
    <col min="9470" max="9470" width="13.09765625" style="668" customWidth="1"/>
    <col min="9471" max="9471" width="11.5" style="668" bestFit="1" customWidth="1"/>
    <col min="9472" max="9472" width="30.59765625" style="668" customWidth="1"/>
    <col min="9473" max="9722" width="7.59765625" style="668"/>
    <col min="9723" max="9723" width="44.09765625" style="668" customWidth="1"/>
    <col min="9724" max="9724" width="16.3984375" style="668" customWidth="1"/>
    <col min="9725" max="9725" width="10.59765625" style="668" customWidth="1"/>
    <col min="9726" max="9726" width="13.09765625" style="668" customWidth="1"/>
    <col min="9727" max="9727" width="11.5" style="668" bestFit="1" customWidth="1"/>
    <col min="9728" max="9728" width="30.59765625" style="668" customWidth="1"/>
    <col min="9729" max="9978" width="7.59765625" style="668"/>
    <col min="9979" max="9979" width="44.09765625" style="668" customWidth="1"/>
    <col min="9980" max="9980" width="16.3984375" style="668" customWidth="1"/>
    <col min="9981" max="9981" width="10.59765625" style="668" customWidth="1"/>
    <col min="9982" max="9982" width="13.09765625" style="668" customWidth="1"/>
    <col min="9983" max="9983" width="11.5" style="668" bestFit="1" customWidth="1"/>
    <col min="9984" max="9984" width="30.59765625" style="668" customWidth="1"/>
    <col min="9985" max="10234" width="7.59765625" style="668"/>
    <col min="10235" max="10235" width="44.09765625" style="668" customWidth="1"/>
    <col min="10236" max="10236" width="16.3984375" style="668" customWidth="1"/>
    <col min="10237" max="10237" width="10.59765625" style="668" customWidth="1"/>
    <col min="10238" max="10238" width="13.09765625" style="668" customWidth="1"/>
    <col min="10239" max="10239" width="11.5" style="668" bestFit="1" customWidth="1"/>
    <col min="10240" max="10240" width="30.59765625" style="668" customWidth="1"/>
    <col min="10241" max="10490" width="7.59765625" style="668"/>
    <col min="10491" max="10491" width="44.09765625" style="668" customWidth="1"/>
    <col min="10492" max="10492" width="16.3984375" style="668" customWidth="1"/>
    <col min="10493" max="10493" width="10.59765625" style="668" customWidth="1"/>
    <col min="10494" max="10494" width="13.09765625" style="668" customWidth="1"/>
    <col min="10495" max="10495" width="11.5" style="668" bestFit="1" customWidth="1"/>
    <col min="10496" max="10496" width="30.59765625" style="668" customWidth="1"/>
    <col min="10497" max="10746" width="7.59765625" style="668"/>
    <col min="10747" max="10747" width="44.09765625" style="668" customWidth="1"/>
    <col min="10748" max="10748" width="16.3984375" style="668" customWidth="1"/>
    <col min="10749" max="10749" width="10.59765625" style="668" customWidth="1"/>
    <col min="10750" max="10750" width="13.09765625" style="668" customWidth="1"/>
    <col min="10751" max="10751" width="11.5" style="668" bestFit="1" customWidth="1"/>
    <col min="10752" max="10752" width="30.59765625" style="668" customWidth="1"/>
    <col min="10753" max="11002" width="7.59765625" style="668"/>
    <col min="11003" max="11003" width="44.09765625" style="668" customWidth="1"/>
    <col min="11004" max="11004" width="16.3984375" style="668" customWidth="1"/>
    <col min="11005" max="11005" width="10.59765625" style="668" customWidth="1"/>
    <col min="11006" max="11006" width="13.09765625" style="668" customWidth="1"/>
    <col min="11007" max="11007" width="11.5" style="668" bestFit="1" customWidth="1"/>
    <col min="11008" max="11008" width="30.59765625" style="668" customWidth="1"/>
    <col min="11009" max="11258" width="7.59765625" style="668"/>
    <col min="11259" max="11259" width="44.09765625" style="668" customWidth="1"/>
    <col min="11260" max="11260" width="16.3984375" style="668" customWidth="1"/>
    <col min="11261" max="11261" width="10.59765625" style="668" customWidth="1"/>
    <col min="11262" max="11262" width="13.09765625" style="668" customWidth="1"/>
    <col min="11263" max="11263" width="11.5" style="668" bestFit="1" customWidth="1"/>
    <col min="11264" max="11264" width="30.59765625" style="668" customWidth="1"/>
    <col min="11265" max="11514" width="7.59765625" style="668"/>
    <col min="11515" max="11515" width="44.09765625" style="668" customWidth="1"/>
    <col min="11516" max="11516" width="16.3984375" style="668" customWidth="1"/>
    <col min="11517" max="11517" width="10.59765625" style="668" customWidth="1"/>
    <col min="11518" max="11518" width="13.09765625" style="668" customWidth="1"/>
    <col min="11519" max="11519" width="11.5" style="668" bestFit="1" customWidth="1"/>
    <col min="11520" max="11520" width="30.59765625" style="668" customWidth="1"/>
    <col min="11521" max="11770" width="7.59765625" style="668"/>
    <col min="11771" max="11771" width="44.09765625" style="668" customWidth="1"/>
    <col min="11772" max="11772" width="16.3984375" style="668" customWidth="1"/>
    <col min="11773" max="11773" width="10.59765625" style="668" customWidth="1"/>
    <col min="11774" max="11774" width="13.09765625" style="668" customWidth="1"/>
    <col min="11775" max="11775" width="11.5" style="668" bestFit="1" customWidth="1"/>
    <col min="11776" max="11776" width="30.59765625" style="668" customWidth="1"/>
    <col min="11777" max="12026" width="7.59765625" style="668"/>
    <col min="12027" max="12027" width="44.09765625" style="668" customWidth="1"/>
    <col min="12028" max="12028" width="16.3984375" style="668" customWidth="1"/>
    <col min="12029" max="12029" width="10.59765625" style="668" customWidth="1"/>
    <col min="12030" max="12030" width="13.09765625" style="668" customWidth="1"/>
    <col min="12031" max="12031" width="11.5" style="668" bestFit="1" customWidth="1"/>
    <col min="12032" max="12032" width="30.59765625" style="668" customWidth="1"/>
    <col min="12033" max="12282" width="7.59765625" style="668"/>
    <col min="12283" max="12283" width="44.09765625" style="668" customWidth="1"/>
    <col min="12284" max="12284" width="16.3984375" style="668" customWidth="1"/>
    <col min="12285" max="12285" width="10.59765625" style="668" customWidth="1"/>
    <col min="12286" max="12286" width="13.09765625" style="668" customWidth="1"/>
    <col min="12287" max="12287" width="11.5" style="668" bestFit="1" customWidth="1"/>
    <col min="12288" max="12288" width="30.59765625" style="668" customWidth="1"/>
    <col min="12289" max="12538" width="7.59765625" style="668"/>
    <col min="12539" max="12539" width="44.09765625" style="668" customWidth="1"/>
    <col min="12540" max="12540" width="16.3984375" style="668" customWidth="1"/>
    <col min="12541" max="12541" width="10.59765625" style="668" customWidth="1"/>
    <col min="12542" max="12542" width="13.09765625" style="668" customWidth="1"/>
    <col min="12543" max="12543" width="11.5" style="668" bestFit="1" customWidth="1"/>
    <col min="12544" max="12544" width="30.59765625" style="668" customWidth="1"/>
    <col min="12545" max="12794" width="7.59765625" style="668"/>
    <col min="12795" max="12795" width="44.09765625" style="668" customWidth="1"/>
    <col min="12796" max="12796" width="16.3984375" style="668" customWidth="1"/>
    <col min="12797" max="12797" width="10.59765625" style="668" customWidth="1"/>
    <col min="12798" max="12798" width="13.09765625" style="668" customWidth="1"/>
    <col min="12799" max="12799" width="11.5" style="668" bestFit="1" customWidth="1"/>
    <col min="12800" max="12800" width="30.59765625" style="668" customWidth="1"/>
    <col min="12801" max="13050" width="7.59765625" style="668"/>
    <col min="13051" max="13051" width="44.09765625" style="668" customWidth="1"/>
    <col min="13052" max="13052" width="16.3984375" style="668" customWidth="1"/>
    <col min="13053" max="13053" width="10.59765625" style="668" customWidth="1"/>
    <col min="13054" max="13054" width="13.09765625" style="668" customWidth="1"/>
    <col min="13055" max="13055" width="11.5" style="668" bestFit="1" customWidth="1"/>
    <col min="13056" max="13056" width="30.59765625" style="668" customWidth="1"/>
    <col min="13057" max="13306" width="7.59765625" style="668"/>
    <col min="13307" max="13307" width="44.09765625" style="668" customWidth="1"/>
    <col min="13308" max="13308" width="16.3984375" style="668" customWidth="1"/>
    <col min="13309" max="13309" width="10.59765625" style="668" customWidth="1"/>
    <col min="13310" max="13310" width="13.09765625" style="668" customWidth="1"/>
    <col min="13311" max="13311" width="11.5" style="668" bestFit="1" customWidth="1"/>
    <col min="13312" max="13312" width="30.59765625" style="668" customWidth="1"/>
    <col min="13313" max="13562" width="7.59765625" style="668"/>
    <col min="13563" max="13563" width="44.09765625" style="668" customWidth="1"/>
    <col min="13564" max="13564" width="16.3984375" style="668" customWidth="1"/>
    <col min="13565" max="13565" width="10.59765625" style="668" customWidth="1"/>
    <col min="13566" max="13566" width="13.09765625" style="668" customWidth="1"/>
    <col min="13567" max="13567" width="11.5" style="668" bestFit="1" customWidth="1"/>
    <col min="13568" max="13568" width="30.59765625" style="668" customWidth="1"/>
    <col min="13569" max="13818" width="7.59765625" style="668"/>
    <col min="13819" max="13819" width="44.09765625" style="668" customWidth="1"/>
    <col min="13820" max="13820" width="16.3984375" style="668" customWidth="1"/>
    <col min="13821" max="13821" width="10.59765625" style="668" customWidth="1"/>
    <col min="13822" max="13822" width="13.09765625" style="668" customWidth="1"/>
    <col min="13823" max="13823" width="11.5" style="668" bestFit="1" customWidth="1"/>
    <col min="13824" max="13824" width="30.59765625" style="668" customWidth="1"/>
    <col min="13825" max="14074" width="7.59765625" style="668"/>
    <col min="14075" max="14075" width="44.09765625" style="668" customWidth="1"/>
    <col min="14076" max="14076" width="16.3984375" style="668" customWidth="1"/>
    <col min="14077" max="14077" width="10.59765625" style="668" customWidth="1"/>
    <col min="14078" max="14078" width="13.09765625" style="668" customWidth="1"/>
    <col min="14079" max="14079" width="11.5" style="668" bestFit="1" customWidth="1"/>
    <col min="14080" max="14080" width="30.59765625" style="668" customWidth="1"/>
    <col min="14081" max="14330" width="7.59765625" style="668"/>
    <col min="14331" max="14331" width="44.09765625" style="668" customWidth="1"/>
    <col min="14332" max="14332" width="16.3984375" style="668" customWidth="1"/>
    <col min="14333" max="14333" width="10.59765625" style="668" customWidth="1"/>
    <col min="14334" max="14334" width="13.09765625" style="668" customWidth="1"/>
    <col min="14335" max="14335" width="11.5" style="668" bestFit="1" customWidth="1"/>
    <col min="14336" max="14336" width="30.59765625" style="668" customWidth="1"/>
    <col min="14337" max="14586" width="7.59765625" style="668"/>
    <col min="14587" max="14587" width="44.09765625" style="668" customWidth="1"/>
    <col min="14588" max="14588" width="16.3984375" style="668" customWidth="1"/>
    <col min="14589" max="14589" width="10.59765625" style="668" customWidth="1"/>
    <col min="14590" max="14590" width="13.09765625" style="668" customWidth="1"/>
    <col min="14591" max="14591" width="11.5" style="668" bestFit="1" customWidth="1"/>
    <col min="14592" max="14592" width="30.59765625" style="668" customWidth="1"/>
    <col min="14593" max="14842" width="7.59765625" style="668"/>
    <col min="14843" max="14843" width="44.09765625" style="668" customWidth="1"/>
    <col min="14844" max="14844" width="16.3984375" style="668" customWidth="1"/>
    <col min="14845" max="14845" width="10.59765625" style="668" customWidth="1"/>
    <col min="14846" max="14846" width="13.09765625" style="668" customWidth="1"/>
    <col min="14847" max="14847" width="11.5" style="668" bestFit="1" customWidth="1"/>
    <col min="14848" max="14848" width="30.59765625" style="668" customWidth="1"/>
    <col min="14849" max="15098" width="7.59765625" style="668"/>
    <col min="15099" max="15099" width="44.09765625" style="668" customWidth="1"/>
    <col min="15100" max="15100" width="16.3984375" style="668" customWidth="1"/>
    <col min="15101" max="15101" width="10.59765625" style="668" customWidth="1"/>
    <col min="15102" max="15102" width="13.09765625" style="668" customWidth="1"/>
    <col min="15103" max="15103" width="11.5" style="668" bestFit="1" customWidth="1"/>
    <col min="15104" max="15104" width="30.59765625" style="668" customWidth="1"/>
    <col min="15105" max="15354" width="7.59765625" style="668"/>
    <col min="15355" max="15355" width="44.09765625" style="668" customWidth="1"/>
    <col min="15356" max="15356" width="16.3984375" style="668" customWidth="1"/>
    <col min="15357" max="15357" width="10.59765625" style="668" customWidth="1"/>
    <col min="15358" max="15358" width="13.09765625" style="668" customWidth="1"/>
    <col min="15359" max="15359" width="11.5" style="668" bestFit="1" customWidth="1"/>
    <col min="15360" max="15360" width="30.59765625" style="668" customWidth="1"/>
    <col min="15361" max="15610" width="7.59765625" style="668"/>
    <col min="15611" max="15611" width="44.09765625" style="668" customWidth="1"/>
    <col min="15612" max="15612" width="16.3984375" style="668" customWidth="1"/>
    <col min="15613" max="15613" width="10.59765625" style="668" customWidth="1"/>
    <col min="15614" max="15614" width="13.09765625" style="668" customWidth="1"/>
    <col min="15615" max="15615" width="11.5" style="668" bestFit="1" customWidth="1"/>
    <col min="15616" max="15616" width="30.59765625" style="668" customWidth="1"/>
    <col min="15617" max="15866" width="7.59765625" style="668"/>
    <col min="15867" max="15867" width="44.09765625" style="668" customWidth="1"/>
    <col min="15868" max="15868" width="16.3984375" style="668" customWidth="1"/>
    <col min="15869" max="15869" width="10.59765625" style="668" customWidth="1"/>
    <col min="15870" max="15870" width="13.09765625" style="668" customWidth="1"/>
    <col min="15871" max="15871" width="11.5" style="668" bestFit="1" customWidth="1"/>
    <col min="15872" max="15872" width="30.59765625" style="668" customWidth="1"/>
    <col min="15873" max="16122" width="7.59765625" style="668"/>
    <col min="16123" max="16123" width="44.09765625" style="668" customWidth="1"/>
    <col min="16124" max="16124" width="16.3984375" style="668" customWidth="1"/>
    <col min="16125" max="16125" width="10.59765625" style="668" customWidth="1"/>
    <col min="16126" max="16126" width="13.09765625" style="668" customWidth="1"/>
    <col min="16127" max="16127" width="11.5" style="668" bestFit="1" customWidth="1"/>
    <col min="16128" max="16128" width="30.59765625" style="668" customWidth="1"/>
    <col min="16129" max="16384" width="7.59765625" style="668"/>
  </cols>
  <sheetData>
    <row r="1" spans="2:15" ht="18" x14ac:dyDescent="0.3">
      <c r="B1" s="449" t="s">
        <v>705</v>
      </c>
      <c r="C1" s="449"/>
      <c r="D1" s="449"/>
      <c r="E1" s="449"/>
      <c r="F1" s="455"/>
    </row>
    <row r="2" spans="2:15" ht="25.2" customHeight="1" thickBot="1" x14ac:dyDescent="0.35">
      <c r="B2" s="449"/>
      <c r="C2" s="449"/>
      <c r="D2" s="449"/>
      <c r="E2" s="449"/>
      <c r="F2" s="455"/>
      <c r="I2" s="692" t="s">
        <v>0</v>
      </c>
      <c r="J2" s="693"/>
      <c r="K2" s="693"/>
      <c r="L2" s="693"/>
      <c r="M2" s="693"/>
      <c r="N2" s="693"/>
    </row>
    <row r="3" spans="2:15" ht="22.2" customHeight="1" thickBot="1" x14ac:dyDescent="0.35">
      <c r="B3" s="458" t="s">
        <v>706</v>
      </c>
      <c r="C3" s="459"/>
      <c r="D3" s="459"/>
      <c r="E3" s="459"/>
      <c r="F3" s="460"/>
      <c r="G3" s="461"/>
      <c r="I3" s="694"/>
      <c r="J3" s="207" t="s">
        <v>237</v>
      </c>
      <c r="K3" s="208">
        <f>'1.Initial Parameters'!$D$5</f>
        <v>0.21</v>
      </c>
      <c r="L3" s="209" t="s">
        <v>298</v>
      </c>
      <c r="N3" s="210" t="s">
        <v>30</v>
      </c>
    </row>
    <row r="4" spans="2:15" x14ac:dyDescent="0.3">
      <c r="B4" s="134" t="s">
        <v>707</v>
      </c>
      <c r="C4" s="134" t="s">
        <v>260</v>
      </c>
      <c r="D4" s="134"/>
      <c r="E4" s="134"/>
      <c r="F4" s="135" t="s">
        <v>456</v>
      </c>
      <c r="G4" s="463" t="s">
        <v>251</v>
      </c>
      <c r="I4" s="694" t="s">
        <v>145</v>
      </c>
      <c r="J4" s="211" t="s">
        <v>16</v>
      </c>
      <c r="K4" s="212" t="s">
        <v>17</v>
      </c>
      <c r="L4" s="213" t="str">
        <f>'4.TCO Calculation &amp; Comparsion'!$J$3</f>
        <v>VAT included</v>
      </c>
      <c r="N4" s="210" t="s">
        <v>30</v>
      </c>
    </row>
    <row r="5" spans="2:15" ht="18" customHeight="1" x14ac:dyDescent="0.3">
      <c r="B5" s="627" t="s">
        <v>24</v>
      </c>
      <c r="C5" s="628" t="str">
        <f>'1.Initial Parameters'!$D$30</f>
        <v>EURO/infrastructure/year</v>
      </c>
      <c r="D5" s="628"/>
      <c r="E5" s="628"/>
      <c r="F5" s="446">
        <v>0</v>
      </c>
      <c r="G5" s="629"/>
      <c r="I5" s="694" t="s">
        <v>145</v>
      </c>
      <c r="J5" s="214">
        <f>IF($J$4='1.Initial Parameters'!$D$3,CenaCloudIaaSRok,CenaCloudIaaSRok/(1+$K$3))</f>
        <v>0</v>
      </c>
      <c r="K5" s="215">
        <f>IF($K$4='1.Initial Parameters'!$D$3,CenaCloudIaaSRok,CenaCloudIaaSRok*(1+$K$3))</f>
        <v>0</v>
      </c>
      <c r="L5" s="216">
        <f>IF($L$4=$J$4,J5,K5)</f>
        <v>0</v>
      </c>
      <c r="N5" s="210" t="s">
        <v>30</v>
      </c>
    </row>
    <row r="6" spans="2:15" ht="18" customHeight="1" x14ac:dyDescent="0.3">
      <c r="B6" s="627" t="s">
        <v>25</v>
      </c>
      <c r="C6" s="628" t="str">
        <f>'1.Initial Parameters'!$D$31</f>
        <v>EURO/platform/year</v>
      </c>
      <c r="D6" s="628"/>
      <c r="E6" s="628"/>
      <c r="F6" s="446">
        <v>0</v>
      </c>
      <c r="G6" s="629"/>
      <c r="I6" s="694" t="s">
        <v>145</v>
      </c>
      <c r="J6" s="214">
        <f>IF($J$4='1.Initial Parameters'!$D$3,F6,F6/(1+$K$3))</f>
        <v>0</v>
      </c>
      <c r="K6" s="215">
        <f>IF($K$4='1.Initial Parameters'!$D$3,F6,F6*(1+$K$3))</f>
        <v>0</v>
      </c>
      <c r="L6" s="216">
        <f t="shared" ref="L6:L7" si="0">IF($L$4=$J$4,J6,K6)</f>
        <v>0</v>
      </c>
      <c r="N6" s="210" t="s">
        <v>30</v>
      </c>
    </row>
    <row r="7" spans="2:15" ht="18" customHeight="1" thickBot="1" x14ac:dyDescent="0.35">
      <c r="B7" s="544" t="s">
        <v>26</v>
      </c>
      <c r="C7" s="552" t="str">
        <f>'1.Initial Parameters'!$D$32</f>
        <v>EURO/software/year</v>
      </c>
      <c r="D7" s="552"/>
      <c r="E7" s="552"/>
      <c r="F7" s="447">
        <v>0</v>
      </c>
      <c r="G7" s="669"/>
      <c r="I7" s="694" t="s">
        <v>145</v>
      </c>
      <c r="J7" s="214">
        <f>IF($J$4='1.Initial Parameters'!$D$3,F7,F7/(1+$K$3))</f>
        <v>0</v>
      </c>
      <c r="K7" s="215">
        <f>IF($K$4='1.Initial Parameters'!$D$3,F7,F7*(1+$K$3))</f>
        <v>0</v>
      </c>
      <c r="L7" s="216">
        <f t="shared" si="0"/>
        <v>0</v>
      </c>
      <c r="N7" s="210" t="s">
        <v>30</v>
      </c>
    </row>
    <row r="8" spans="2:15" ht="18" customHeight="1" thickTop="1" thickBot="1" x14ac:dyDescent="0.35">
      <c r="B8" s="670" t="s">
        <v>522</v>
      </c>
      <c r="C8" s="127" t="str">
        <f>'1.Initial Parameters'!D25</f>
        <v>EURO/year</v>
      </c>
      <c r="D8" s="671"/>
      <c r="E8" s="671"/>
      <c r="F8" s="715">
        <f>SUM(F5:F7)</f>
        <v>0</v>
      </c>
      <c r="G8" s="671"/>
      <c r="I8" s="695" t="s">
        <v>145</v>
      </c>
      <c r="J8" s="696">
        <f>SUM(J5:J7)</f>
        <v>0</v>
      </c>
      <c r="K8" s="697">
        <f>SUM(K5:K7)</f>
        <v>0</v>
      </c>
      <c r="L8" s="698">
        <f>SUM(L5:L7)</f>
        <v>0</v>
      </c>
      <c r="N8" s="210" t="s">
        <v>30</v>
      </c>
    </row>
    <row r="9" spans="2:15" ht="16.2" thickTop="1" x14ac:dyDescent="0.3">
      <c r="B9" s="454"/>
      <c r="C9" s="499"/>
      <c r="D9" s="499"/>
      <c r="E9" s="499"/>
      <c r="F9" s="587"/>
      <c r="G9" s="672"/>
      <c r="N9" s="210" t="s">
        <v>30</v>
      </c>
    </row>
    <row r="10" spans="2:15" ht="15.6" x14ac:dyDescent="0.3">
      <c r="B10" s="673" t="s">
        <v>708</v>
      </c>
      <c r="C10" s="674"/>
      <c r="D10" s="499"/>
      <c r="E10" s="499"/>
      <c r="F10" s="587"/>
      <c r="G10" s="672"/>
      <c r="I10" s="694"/>
      <c r="N10" s="210"/>
    </row>
    <row r="11" spans="2:15" ht="15.6" x14ac:dyDescent="0.3">
      <c r="B11" s="454" t="s">
        <v>709</v>
      </c>
      <c r="C11" s="507"/>
      <c r="D11" s="507"/>
      <c r="E11" s="507"/>
      <c r="F11" s="556"/>
      <c r="G11" s="557"/>
      <c r="H11" s="52"/>
      <c r="I11" s="202"/>
      <c r="N11" s="210" t="s">
        <v>30</v>
      </c>
    </row>
    <row r="12" spans="2:15" ht="6" customHeight="1" thickBot="1" x14ac:dyDescent="0.35">
      <c r="B12" s="449"/>
      <c r="C12" s="449"/>
      <c r="D12" s="449"/>
      <c r="E12" s="449"/>
      <c r="F12" s="455"/>
      <c r="G12" s="555"/>
      <c r="H12" s="52"/>
      <c r="I12" s="202"/>
      <c r="N12" s="210" t="s">
        <v>30</v>
      </c>
    </row>
    <row r="13" spans="2:15" ht="15" thickBot="1" x14ac:dyDescent="0.35">
      <c r="B13" s="458" t="s">
        <v>388</v>
      </c>
      <c r="C13" s="459"/>
      <c r="D13" s="459"/>
      <c r="E13" s="459"/>
      <c r="F13" s="460"/>
      <c r="G13" s="461"/>
      <c r="H13" s="52"/>
      <c r="I13" s="202"/>
      <c r="N13" s="210" t="s">
        <v>30</v>
      </c>
      <c r="O13" s="272"/>
    </row>
    <row r="14" spans="2:15" x14ac:dyDescent="0.3">
      <c r="B14" s="134"/>
      <c r="C14" s="137" t="s">
        <v>5</v>
      </c>
      <c r="D14" s="558" t="s">
        <v>88</v>
      </c>
      <c r="E14" s="137" t="s">
        <v>394</v>
      </c>
      <c r="F14" s="135" t="s">
        <v>456</v>
      </c>
      <c r="G14" s="559" t="s">
        <v>251</v>
      </c>
      <c r="H14" s="52"/>
      <c r="I14" s="202"/>
      <c r="J14" s="211" t="s">
        <v>16</v>
      </c>
      <c r="K14" s="212" t="s">
        <v>17</v>
      </c>
      <c r="L14" s="213" t="str">
        <f>'4.TCO Calculation &amp; Comparsion'!$J$3</f>
        <v>VAT included</v>
      </c>
      <c r="N14" s="210" t="s">
        <v>30</v>
      </c>
      <c r="O14" s="699"/>
    </row>
    <row r="15" spans="2:15" x14ac:dyDescent="0.3">
      <c r="B15" s="560" t="s">
        <v>710</v>
      </c>
      <c r="C15" s="123" t="str">
        <f>'1.Initial Parameters'!$D$27</f>
        <v>Hour/year</v>
      </c>
      <c r="D15" s="500">
        <v>2</v>
      </c>
      <c r="E15" s="501">
        <f>VLOOKUP(D15,'1.Initial Parameters'!$D$44:$E$46,2,FALSE)</f>
        <v>657</v>
      </c>
      <c r="F15" s="48">
        <v>0</v>
      </c>
      <c r="G15" s="561"/>
      <c r="H15" s="52"/>
      <c r="I15" s="220" t="s">
        <v>90</v>
      </c>
      <c r="J15" s="214">
        <f>E15*F15</f>
        <v>0</v>
      </c>
      <c r="K15" s="215">
        <f>E15*F15</f>
        <v>0</v>
      </c>
      <c r="L15" s="216">
        <f t="shared" ref="L15:L18" si="1">IF($L$4=$J$4,J15,K15)</f>
        <v>0</v>
      </c>
      <c r="N15" s="210" t="s">
        <v>91</v>
      </c>
    </row>
    <row r="16" spans="2:15" x14ac:dyDescent="0.3">
      <c r="B16" s="560" t="s">
        <v>711</v>
      </c>
      <c r="C16" s="123" t="str">
        <f>'1.Initial Parameters'!$D$27</f>
        <v>Hour/year</v>
      </c>
      <c r="D16" s="500">
        <v>1</v>
      </c>
      <c r="E16" s="501">
        <f>VLOOKUP(D16,'1.Initial Parameters'!$D$44:$E$46,2,FALSE)</f>
        <v>654</v>
      </c>
      <c r="F16" s="48">
        <v>0</v>
      </c>
      <c r="G16" s="561"/>
      <c r="H16" s="52"/>
      <c r="I16" s="245" t="s">
        <v>90</v>
      </c>
      <c r="J16" s="214">
        <f>E16*F16</f>
        <v>0</v>
      </c>
      <c r="K16" s="215">
        <f>E16*F16</f>
        <v>0</v>
      </c>
      <c r="L16" s="216">
        <f t="shared" si="1"/>
        <v>0</v>
      </c>
      <c r="N16" s="210" t="s">
        <v>91</v>
      </c>
    </row>
    <row r="17" spans="2:15" x14ac:dyDescent="0.3">
      <c r="B17" s="560" t="s">
        <v>391</v>
      </c>
      <c r="C17" s="123" t="str">
        <f>'1.Initial Parameters'!$D$27</f>
        <v>Hour/year</v>
      </c>
      <c r="D17" s="500">
        <v>3</v>
      </c>
      <c r="E17" s="501">
        <f>VLOOKUP(D17,'1.Initial Parameters'!$D$44:$E$46,2,FALSE)</f>
        <v>709</v>
      </c>
      <c r="F17" s="48">
        <v>0</v>
      </c>
      <c r="G17" s="561"/>
      <c r="H17" s="52"/>
      <c r="I17" s="245" t="s">
        <v>90</v>
      </c>
      <c r="J17" s="214">
        <f>E17*F17</f>
        <v>0</v>
      </c>
      <c r="K17" s="215">
        <f>E17*F17</f>
        <v>0</v>
      </c>
      <c r="L17" s="216">
        <f t="shared" si="1"/>
        <v>0</v>
      </c>
      <c r="M17" s="699"/>
      <c r="N17" s="210" t="s">
        <v>91</v>
      </c>
    </row>
    <row r="18" spans="2:15" x14ac:dyDescent="0.3">
      <c r="B18" s="560" t="s">
        <v>392</v>
      </c>
      <c r="C18" s="123" t="str">
        <f>'1.Initial Parameters'!$D$25</f>
        <v>EURO/year</v>
      </c>
      <c r="D18" s="562"/>
      <c r="E18" s="501"/>
      <c r="F18" s="48">
        <v>0</v>
      </c>
      <c r="G18" s="561"/>
      <c r="H18" s="52"/>
      <c r="I18" s="245" t="s">
        <v>90</v>
      </c>
      <c r="J18" s="214">
        <f>IF($J$4='1.Initial Parameters'!$D$3,F18,F18/(1+$K$3))</f>
        <v>0</v>
      </c>
      <c r="K18" s="215">
        <f>IF($K$4='1.Initial Parameters'!$D$3,F18,F18*(1+$K$3))</f>
        <v>0</v>
      </c>
      <c r="L18" s="216">
        <f t="shared" si="1"/>
        <v>0</v>
      </c>
      <c r="N18" s="210" t="s">
        <v>30</v>
      </c>
      <c r="O18" s="272"/>
    </row>
    <row r="19" spans="2:15" ht="15" thickBot="1" x14ac:dyDescent="0.35">
      <c r="B19" s="563" t="s">
        <v>393</v>
      </c>
      <c r="C19" s="544" t="str">
        <f>'1.Initial Parameters'!$D$25</f>
        <v>EURO/year</v>
      </c>
      <c r="D19" s="544"/>
      <c r="E19" s="544"/>
      <c r="F19" s="312">
        <f>IF($J$14='1.Initial Parameters'!$D$3,'3. Input Data Cloud'!J19,'3. Input Data Cloud'!K19)</f>
        <v>0</v>
      </c>
      <c r="G19" s="589" t="str">
        <f>_xlfn.CONCAT(JenotkaMěny,"/year total")</f>
        <v>EURO/year total</v>
      </c>
      <c r="H19" s="52"/>
      <c r="I19" s="202"/>
      <c r="J19" s="700">
        <f>SUM(J15:J18)</f>
        <v>0</v>
      </c>
      <c r="K19" s="701">
        <f>SUM(K15:K18)</f>
        <v>0</v>
      </c>
      <c r="L19" s="702">
        <f>SUM(L15:L18)</f>
        <v>0</v>
      </c>
      <c r="N19" s="210" t="s">
        <v>30</v>
      </c>
    </row>
    <row r="20" spans="2:15" ht="15.6" thickTop="1" thickBot="1" x14ac:dyDescent="0.35">
      <c r="B20" s="456"/>
      <c r="C20" s="456"/>
      <c r="D20" s="456"/>
      <c r="E20" s="456"/>
      <c r="F20" s="566"/>
      <c r="N20" s="210" t="s">
        <v>30</v>
      </c>
    </row>
    <row r="21" spans="2:15" ht="15" thickBot="1" x14ac:dyDescent="0.35">
      <c r="B21" s="104" t="s">
        <v>395</v>
      </c>
      <c r="C21" s="459"/>
      <c r="D21" s="459"/>
      <c r="E21" s="459"/>
      <c r="F21" s="567"/>
      <c r="G21" s="461"/>
      <c r="H21" s="52"/>
      <c r="I21" s="202"/>
      <c r="N21" s="210" t="s">
        <v>30</v>
      </c>
    </row>
    <row r="22" spans="2:15" x14ac:dyDescent="0.3">
      <c r="B22" s="134"/>
      <c r="C22" s="137" t="s">
        <v>260</v>
      </c>
      <c r="D22" s="558" t="s">
        <v>88</v>
      </c>
      <c r="E22" s="137" t="s">
        <v>724</v>
      </c>
      <c r="F22" s="135" t="s">
        <v>456</v>
      </c>
      <c r="G22" s="559" t="s">
        <v>251</v>
      </c>
      <c r="H22" s="52"/>
      <c r="I22" s="202"/>
      <c r="J22" s="211" t="s">
        <v>16</v>
      </c>
      <c r="K22" s="212" t="s">
        <v>17</v>
      </c>
      <c r="L22" s="213" t="str">
        <f>'4.TCO Calculation &amp; Comparsion'!$J$3</f>
        <v>VAT included</v>
      </c>
      <c r="N22" s="210" t="s">
        <v>30</v>
      </c>
    </row>
    <row r="23" spans="2:15" x14ac:dyDescent="0.3">
      <c r="B23" s="560" t="s">
        <v>396</v>
      </c>
      <c r="C23" s="123" t="str">
        <f>'1.Initial Parameters'!$D$27</f>
        <v>Hour/year</v>
      </c>
      <c r="D23" s="500">
        <v>1</v>
      </c>
      <c r="E23" s="501">
        <f>VLOOKUP(D23,'1.Initial Parameters'!$D$44:$E$46,2,FALSE)</f>
        <v>654</v>
      </c>
      <c r="F23" s="568">
        <v>0</v>
      </c>
      <c r="G23" s="561"/>
      <c r="H23" s="52"/>
      <c r="I23" s="255" t="s">
        <v>92</v>
      </c>
      <c r="J23" s="214">
        <f>E23*F23</f>
        <v>0</v>
      </c>
      <c r="K23" s="215">
        <f>E23*F23</f>
        <v>0</v>
      </c>
      <c r="L23" s="216">
        <f t="shared" ref="L23" si="2">IF($L$4=$J$4,J23,K23)</f>
        <v>0</v>
      </c>
      <c r="N23" s="210" t="s">
        <v>91</v>
      </c>
    </row>
    <row r="24" spans="2:15" x14ac:dyDescent="0.3">
      <c r="B24" s="560" t="s">
        <v>712</v>
      </c>
      <c r="C24" s="123" t="str">
        <f>'1.Initial Parameters'!$D$27</f>
        <v>Hour/year</v>
      </c>
      <c r="D24" s="500">
        <v>2</v>
      </c>
      <c r="E24" s="501">
        <f>VLOOKUP(D24,'1.Initial Parameters'!$D$44:$E$46,2,FALSE)</f>
        <v>657</v>
      </c>
      <c r="F24" s="568">
        <v>0</v>
      </c>
      <c r="G24" s="561"/>
      <c r="H24" s="52"/>
      <c r="I24" s="255" t="s">
        <v>93</v>
      </c>
      <c r="J24" s="214">
        <f t="shared" ref="J24:J35" si="3">E24*F24</f>
        <v>0</v>
      </c>
      <c r="K24" s="215">
        <f t="shared" ref="K24:K35" si="4">E24*F24</f>
        <v>0</v>
      </c>
      <c r="L24" s="216">
        <f t="shared" ref="L24:L38" si="5">IF($L$4=$J$4,J24,K24)</f>
        <v>0</v>
      </c>
      <c r="N24" s="210" t="s">
        <v>91</v>
      </c>
    </row>
    <row r="25" spans="2:15" x14ac:dyDescent="0.3">
      <c r="B25" s="560" t="s">
        <v>713</v>
      </c>
      <c r="C25" s="123" t="str">
        <f>'1.Initial Parameters'!$D$27</f>
        <v>Hour/year</v>
      </c>
      <c r="D25" s="500">
        <v>3</v>
      </c>
      <c r="E25" s="501">
        <f>VLOOKUP(D25,'1.Initial Parameters'!$D$44:$E$46,2,FALSE)</f>
        <v>709</v>
      </c>
      <c r="F25" s="568">
        <v>0</v>
      </c>
      <c r="G25" s="561"/>
      <c r="H25" s="52"/>
      <c r="I25" s="255" t="s">
        <v>94</v>
      </c>
      <c r="J25" s="214">
        <f t="shared" si="3"/>
        <v>0</v>
      </c>
      <c r="K25" s="215">
        <f t="shared" si="4"/>
        <v>0</v>
      </c>
      <c r="L25" s="216">
        <f t="shared" si="5"/>
        <v>0</v>
      </c>
      <c r="N25" s="210" t="s">
        <v>91</v>
      </c>
    </row>
    <row r="26" spans="2:15" x14ac:dyDescent="0.3">
      <c r="B26" s="560" t="s">
        <v>399</v>
      </c>
      <c r="C26" s="123" t="str">
        <f>'1.Initial Parameters'!$D$27</f>
        <v>Hour/year</v>
      </c>
      <c r="D26" s="500">
        <v>3</v>
      </c>
      <c r="E26" s="501">
        <f>VLOOKUP(D26,'1.Initial Parameters'!$D$44:$E$46,2,FALSE)</f>
        <v>709</v>
      </c>
      <c r="F26" s="568">
        <v>0</v>
      </c>
      <c r="G26" s="561"/>
      <c r="H26" s="52"/>
      <c r="I26" s="255" t="s">
        <v>95</v>
      </c>
      <c r="J26" s="214">
        <f t="shared" si="3"/>
        <v>0</v>
      </c>
      <c r="K26" s="215">
        <f t="shared" si="4"/>
        <v>0</v>
      </c>
      <c r="L26" s="216">
        <f t="shared" si="5"/>
        <v>0</v>
      </c>
      <c r="N26" s="210" t="s">
        <v>91</v>
      </c>
    </row>
    <row r="27" spans="2:15" x14ac:dyDescent="0.3">
      <c r="B27" s="560" t="s">
        <v>400</v>
      </c>
      <c r="C27" s="123" t="str">
        <f>'1.Initial Parameters'!$D$27</f>
        <v>Hour/year</v>
      </c>
      <c r="D27" s="500">
        <v>1</v>
      </c>
      <c r="E27" s="501">
        <f>VLOOKUP(D27,'1.Initial Parameters'!$D$44:$E$46,2,FALSE)</f>
        <v>654</v>
      </c>
      <c r="F27" s="568">
        <v>0</v>
      </c>
      <c r="G27" s="561"/>
      <c r="H27" s="52"/>
      <c r="I27" s="255" t="s">
        <v>96</v>
      </c>
      <c r="J27" s="214">
        <f t="shared" si="3"/>
        <v>0</v>
      </c>
      <c r="K27" s="215">
        <f t="shared" si="4"/>
        <v>0</v>
      </c>
      <c r="L27" s="216">
        <f t="shared" si="5"/>
        <v>0</v>
      </c>
      <c r="N27" s="210" t="s">
        <v>91</v>
      </c>
    </row>
    <row r="28" spans="2:15" ht="18" customHeight="1" x14ac:dyDescent="0.3">
      <c r="B28" s="560" t="s">
        <v>401</v>
      </c>
      <c r="C28" s="123" t="str">
        <f>'1.Initial Parameters'!$D$27</f>
        <v>Hour/year</v>
      </c>
      <c r="D28" s="500">
        <v>2</v>
      </c>
      <c r="E28" s="501">
        <f>VLOOKUP(D28,'1.Initial Parameters'!$D$44:$E$46,2,FALSE)</f>
        <v>657</v>
      </c>
      <c r="F28" s="568">
        <v>0</v>
      </c>
      <c r="G28" s="561"/>
      <c r="H28" s="52"/>
      <c r="I28" s="255" t="s">
        <v>97</v>
      </c>
      <c r="J28" s="214">
        <f t="shared" si="3"/>
        <v>0</v>
      </c>
      <c r="K28" s="215">
        <f t="shared" si="4"/>
        <v>0</v>
      </c>
      <c r="L28" s="216">
        <f t="shared" si="5"/>
        <v>0</v>
      </c>
      <c r="N28" s="210" t="s">
        <v>91</v>
      </c>
    </row>
    <row r="29" spans="2:15" x14ac:dyDescent="0.3">
      <c r="B29" s="560" t="s">
        <v>714</v>
      </c>
      <c r="C29" s="123" t="str">
        <f>'1.Initial Parameters'!$D$27</f>
        <v>Hour/year</v>
      </c>
      <c r="D29" s="500">
        <v>2</v>
      </c>
      <c r="E29" s="501">
        <f>VLOOKUP(D29,'1.Initial Parameters'!$D$44:$E$46,2,FALSE)</f>
        <v>657</v>
      </c>
      <c r="F29" s="568">
        <v>0</v>
      </c>
      <c r="G29" s="561"/>
      <c r="H29" s="52"/>
      <c r="I29" s="255" t="s">
        <v>98</v>
      </c>
      <c r="J29" s="214">
        <f t="shared" si="3"/>
        <v>0</v>
      </c>
      <c r="K29" s="215">
        <f t="shared" si="4"/>
        <v>0</v>
      </c>
      <c r="L29" s="216">
        <f t="shared" si="5"/>
        <v>0</v>
      </c>
      <c r="N29" s="210" t="s">
        <v>91</v>
      </c>
    </row>
    <row r="30" spans="2:15" x14ac:dyDescent="0.3">
      <c r="B30" s="560" t="s">
        <v>715</v>
      </c>
      <c r="C30" s="123" t="str">
        <f>'1.Initial Parameters'!$D$27</f>
        <v>Hour/year</v>
      </c>
      <c r="D30" s="500">
        <v>2</v>
      </c>
      <c r="E30" s="501">
        <f>VLOOKUP(D30,'1.Initial Parameters'!$D$44:$E$46,2,FALSE)</f>
        <v>657</v>
      </c>
      <c r="F30" s="568">
        <v>0</v>
      </c>
      <c r="G30" s="561"/>
      <c r="H30" s="52"/>
      <c r="I30" s="255" t="s">
        <v>99</v>
      </c>
      <c r="J30" s="214">
        <f t="shared" si="3"/>
        <v>0</v>
      </c>
      <c r="K30" s="215">
        <f t="shared" si="4"/>
        <v>0</v>
      </c>
      <c r="L30" s="216">
        <f t="shared" si="5"/>
        <v>0</v>
      </c>
      <c r="N30" s="210" t="s">
        <v>91</v>
      </c>
    </row>
    <row r="31" spans="2:15" x14ac:dyDescent="0.3">
      <c r="B31" s="560" t="s">
        <v>716</v>
      </c>
      <c r="C31" s="123" t="str">
        <f>'1.Initial Parameters'!$D$27</f>
        <v>Hour/year</v>
      </c>
      <c r="D31" s="500">
        <v>2</v>
      </c>
      <c r="E31" s="501">
        <f>VLOOKUP(D31,'1.Initial Parameters'!$D$44:$E$46,2,FALSE)</f>
        <v>657</v>
      </c>
      <c r="F31" s="568">
        <v>0</v>
      </c>
      <c r="G31" s="561"/>
      <c r="H31" s="52"/>
      <c r="I31" s="255" t="s">
        <v>100</v>
      </c>
      <c r="J31" s="214">
        <f t="shared" si="3"/>
        <v>0</v>
      </c>
      <c r="K31" s="215">
        <f t="shared" si="4"/>
        <v>0</v>
      </c>
      <c r="L31" s="216">
        <f t="shared" si="5"/>
        <v>0</v>
      </c>
      <c r="N31" s="210" t="s">
        <v>91</v>
      </c>
    </row>
    <row r="32" spans="2:15" x14ac:dyDescent="0.3">
      <c r="B32" s="522" t="s">
        <v>717</v>
      </c>
      <c r="C32" s="123" t="str">
        <f>'1.Initial Parameters'!$D$27</f>
        <v>Hour/year</v>
      </c>
      <c r="D32" s="500">
        <v>2</v>
      </c>
      <c r="E32" s="501">
        <f>VLOOKUP(D32,'1.Initial Parameters'!$D$44:$E$46,2,FALSE)</f>
        <v>657</v>
      </c>
      <c r="F32" s="568">
        <v>0</v>
      </c>
      <c r="G32" s="561"/>
      <c r="H32" s="52"/>
      <c r="I32" s="255" t="s">
        <v>95</v>
      </c>
      <c r="J32" s="214">
        <f t="shared" si="3"/>
        <v>0</v>
      </c>
      <c r="K32" s="215">
        <f t="shared" si="4"/>
        <v>0</v>
      </c>
      <c r="L32" s="216">
        <f t="shared" si="5"/>
        <v>0</v>
      </c>
      <c r="N32" s="210" t="s">
        <v>91</v>
      </c>
    </row>
    <row r="33" spans="2:15" x14ac:dyDescent="0.3">
      <c r="B33" s="560" t="s">
        <v>718</v>
      </c>
      <c r="C33" s="123" t="str">
        <f>'1.Initial Parameters'!$D$27</f>
        <v>Hour/year</v>
      </c>
      <c r="D33" s="500">
        <v>2</v>
      </c>
      <c r="E33" s="501">
        <f>VLOOKUP(D33,'1.Initial Parameters'!$D$44:$E$46,2,FALSE)</f>
        <v>657</v>
      </c>
      <c r="F33" s="568">
        <v>0</v>
      </c>
      <c r="G33" s="561"/>
      <c r="H33" s="52"/>
      <c r="I33" s="255" t="s">
        <v>101</v>
      </c>
      <c r="J33" s="214">
        <f t="shared" si="3"/>
        <v>0</v>
      </c>
      <c r="K33" s="215">
        <f t="shared" si="4"/>
        <v>0</v>
      </c>
      <c r="L33" s="216">
        <f t="shared" si="5"/>
        <v>0</v>
      </c>
      <c r="M33" s="699"/>
      <c r="N33" s="210" t="s">
        <v>91</v>
      </c>
    </row>
    <row r="34" spans="2:15" x14ac:dyDescent="0.3">
      <c r="B34" s="560" t="s">
        <v>719</v>
      </c>
      <c r="C34" s="123" t="str">
        <f>'1.Initial Parameters'!$D$27</f>
        <v>Hour/year</v>
      </c>
      <c r="D34" s="500">
        <v>3</v>
      </c>
      <c r="E34" s="501">
        <f>VLOOKUP(D34,'1.Initial Parameters'!$D$44:$E$46,2,FALSE)</f>
        <v>709</v>
      </c>
      <c r="F34" s="568">
        <v>0</v>
      </c>
      <c r="G34" s="561"/>
      <c r="H34" s="52"/>
      <c r="I34" s="255" t="s">
        <v>102</v>
      </c>
      <c r="J34" s="214">
        <f t="shared" si="3"/>
        <v>0</v>
      </c>
      <c r="K34" s="215">
        <f t="shared" si="4"/>
        <v>0</v>
      </c>
      <c r="L34" s="216">
        <f t="shared" si="5"/>
        <v>0</v>
      </c>
      <c r="N34" s="210" t="s">
        <v>91</v>
      </c>
    </row>
    <row r="35" spans="2:15" x14ac:dyDescent="0.3">
      <c r="B35" s="560" t="s">
        <v>720</v>
      </c>
      <c r="C35" s="123" t="str">
        <f>'1.Initial Parameters'!$D$27</f>
        <v>Hour/year</v>
      </c>
      <c r="D35" s="500">
        <v>3</v>
      </c>
      <c r="E35" s="501">
        <f>VLOOKUP(D35,'1.Initial Parameters'!$D$44:$E$46,2,FALSE)</f>
        <v>709</v>
      </c>
      <c r="F35" s="568">
        <v>0</v>
      </c>
      <c r="G35" s="561"/>
      <c r="H35" s="52"/>
      <c r="I35" s="255" t="s">
        <v>103</v>
      </c>
      <c r="J35" s="214">
        <f t="shared" si="3"/>
        <v>0</v>
      </c>
      <c r="K35" s="215">
        <f t="shared" si="4"/>
        <v>0</v>
      </c>
      <c r="L35" s="216">
        <f t="shared" si="5"/>
        <v>0</v>
      </c>
      <c r="N35" s="210" t="s">
        <v>104</v>
      </c>
    </row>
    <row r="36" spans="2:15" x14ac:dyDescent="0.3">
      <c r="B36" s="123" t="s">
        <v>721</v>
      </c>
      <c r="C36" s="123" t="str">
        <f>'1.Initial Parameters'!$D$27</f>
        <v>Hour/year</v>
      </c>
      <c r="D36" s="500">
        <v>3</v>
      </c>
      <c r="E36" s="501">
        <f>VLOOKUP(D36,'1.Initial Parameters'!$D$44:$E$46,2,FALSE)</f>
        <v>709</v>
      </c>
      <c r="F36" s="568">
        <v>0</v>
      </c>
      <c r="G36" s="503"/>
      <c r="H36" s="52"/>
      <c r="I36" s="220" t="s">
        <v>107</v>
      </c>
      <c r="J36" s="214">
        <f t="shared" ref="J36" si="6">E36*F36</f>
        <v>0</v>
      </c>
      <c r="K36" s="215">
        <f t="shared" ref="K36" si="7">E36*F36</f>
        <v>0</v>
      </c>
      <c r="L36" s="216">
        <f t="shared" ref="L36" si="8">IF($L$4=$J$4,J36,K36)</f>
        <v>0</v>
      </c>
      <c r="N36" s="210" t="s">
        <v>30</v>
      </c>
      <c r="O36" s="703" t="s">
        <v>165</v>
      </c>
    </row>
    <row r="37" spans="2:15" x14ac:dyDescent="0.3">
      <c r="B37" s="560" t="s">
        <v>722</v>
      </c>
      <c r="C37" s="123" t="str">
        <f>'1.Initial Parameters'!$D$25</f>
        <v>EURO/year</v>
      </c>
      <c r="D37" s="562"/>
      <c r="E37" s="501"/>
      <c r="F37" s="48">
        <v>0</v>
      </c>
      <c r="G37" s="561"/>
      <c r="H37" s="52"/>
      <c r="I37" s="257" t="s">
        <v>101</v>
      </c>
      <c r="J37" s="214">
        <f>IF($J$4='1.Initial Parameters'!$D$3,F37,F37/(1+$K$3))</f>
        <v>0</v>
      </c>
      <c r="K37" s="215">
        <f>IF($K$4='1.Initial Parameters'!$D$3,F37,F37*(1+$K$3))</f>
        <v>0</v>
      </c>
      <c r="L37" s="216">
        <f t="shared" si="5"/>
        <v>0</v>
      </c>
      <c r="N37" s="210" t="s">
        <v>30</v>
      </c>
    </row>
    <row r="38" spans="2:15" x14ac:dyDescent="0.3">
      <c r="B38" s="560" t="s">
        <v>723</v>
      </c>
      <c r="C38" s="123" t="str">
        <f>'1.Initial Parameters'!$D$25</f>
        <v>EURO/year</v>
      </c>
      <c r="D38" s="562"/>
      <c r="E38" s="501"/>
      <c r="F38" s="48">
        <v>0</v>
      </c>
      <c r="G38" s="561"/>
      <c r="H38" s="52"/>
      <c r="I38" s="220" t="s">
        <v>102</v>
      </c>
      <c r="J38" s="214">
        <f>IF($J$4='1.Initial Parameters'!$D$3,F38,F38/(1+$K$3))</f>
        <v>0</v>
      </c>
      <c r="K38" s="215">
        <f>IF($K$4='1.Initial Parameters'!$D$3,F38,F38*(1+$K$3))</f>
        <v>0</v>
      </c>
      <c r="L38" s="216">
        <f t="shared" si="5"/>
        <v>0</v>
      </c>
      <c r="N38" s="210" t="s">
        <v>30</v>
      </c>
    </row>
    <row r="39" spans="2:15" ht="15" thickBot="1" x14ac:dyDescent="0.35">
      <c r="B39" s="563" t="s">
        <v>413</v>
      </c>
      <c r="C39" s="544" t="str">
        <f>'1.Initial Parameters'!D25</f>
        <v>EURO/year</v>
      </c>
      <c r="D39" s="544"/>
      <c r="E39" s="544"/>
      <c r="F39" s="312">
        <f>IF($J$14='1.Initial Parameters'!$D$3,'3. Input Data Cloud'!J39,'3. Input Data Cloud'!K39)</f>
        <v>0</v>
      </c>
      <c r="G39" s="589" t="str">
        <f>_xlfn.CONCAT(JenotkaMěny,"/year total")</f>
        <v>EURO/year total</v>
      </c>
      <c r="H39" s="52"/>
      <c r="I39" s="202"/>
      <c r="J39" s="700">
        <f>SUM(J23:J38)</f>
        <v>0</v>
      </c>
      <c r="K39" s="701">
        <f>SUM(K23:K38)</f>
        <v>0</v>
      </c>
      <c r="L39" s="702">
        <f>SUM(L23:L38)</f>
        <v>0</v>
      </c>
      <c r="N39" s="210" t="s">
        <v>30</v>
      </c>
    </row>
    <row r="40" spans="2:15" ht="15.6" thickTop="1" thickBot="1" x14ac:dyDescent="0.35">
      <c r="B40" s="570"/>
      <c r="C40" s="571"/>
      <c r="D40" s="571"/>
      <c r="E40" s="571"/>
      <c r="F40" s="572"/>
      <c r="G40" s="571"/>
      <c r="N40" s="210" t="s">
        <v>30</v>
      </c>
    </row>
    <row r="41" spans="2:15" ht="15" thickBot="1" x14ac:dyDescent="0.35">
      <c r="B41" s="458" t="s">
        <v>414</v>
      </c>
      <c r="C41" s="459"/>
      <c r="D41" s="459"/>
      <c r="E41" s="459"/>
      <c r="F41" s="567"/>
      <c r="G41" s="461"/>
      <c r="H41" s="52"/>
      <c r="I41" s="202"/>
      <c r="N41" s="210" t="s">
        <v>30</v>
      </c>
    </row>
    <row r="42" spans="2:15" x14ac:dyDescent="0.3">
      <c r="B42" s="134"/>
      <c r="C42" s="137" t="s">
        <v>260</v>
      </c>
      <c r="D42" s="558" t="s">
        <v>88</v>
      </c>
      <c r="E42" s="137" t="s">
        <v>394</v>
      </c>
      <c r="F42" s="135" t="s">
        <v>456</v>
      </c>
      <c r="G42" s="559" t="s">
        <v>251</v>
      </c>
      <c r="H42" s="52"/>
      <c r="I42" s="202"/>
      <c r="J42" s="211" t="s">
        <v>16</v>
      </c>
      <c r="K42" s="212" t="s">
        <v>17</v>
      </c>
      <c r="L42" s="213" t="str">
        <f>'4.TCO Calculation &amp; Comparsion'!$J$3</f>
        <v>VAT included</v>
      </c>
      <c r="N42" s="210" t="s">
        <v>30</v>
      </c>
    </row>
    <row r="43" spans="2:15" x14ac:dyDescent="0.3">
      <c r="B43" s="560" t="s">
        <v>415</v>
      </c>
      <c r="C43" s="123" t="str">
        <f>'1.Initial Parameters'!$D$27</f>
        <v>Hour/year</v>
      </c>
      <c r="D43" s="500">
        <v>2</v>
      </c>
      <c r="E43" s="501">
        <f>VLOOKUP(D43,'1.Initial Parameters'!$D$44:$E$46,2,FALSE)</f>
        <v>657</v>
      </c>
      <c r="F43" s="568">
        <v>0</v>
      </c>
      <c r="G43" s="561"/>
      <c r="H43" s="52"/>
      <c r="I43" s="220" t="s">
        <v>108</v>
      </c>
      <c r="J43" s="214">
        <f t="shared" ref="J43" si="9">E43*F43</f>
        <v>0</v>
      </c>
      <c r="K43" s="215">
        <f t="shared" ref="K43" si="10">E43*F43</f>
        <v>0</v>
      </c>
      <c r="L43" s="216">
        <f t="shared" ref="L43" si="11">IF($L$4=$J$4,J43,K43)</f>
        <v>0</v>
      </c>
      <c r="N43" s="210" t="s">
        <v>104</v>
      </c>
    </row>
    <row r="44" spans="2:15" x14ac:dyDescent="0.3">
      <c r="B44" s="560" t="s">
        <v>416</v>
      </c>
      <c r="C44" s="123" t="str">
        <f>'1.Initial Parameters'!$D$27</f>
        <v>Hour/year</v>
      </c>
      <c r="D44" s="500">
        <v>1</v>
      </c>
      <c r="E44" s="501">
        <f>VLOOKUP(D44,'1.Initial Parameters'!$D$44:$E$46,2,FALSE)</f>
        <v>654</v>
      </c>
      <c r="F44" s="568">
        <v>0</v>
      </c>
      <c r="G44" s="561"/>
      <c r="H44" s="52"/>
      <c r="I44" s="245" t="s">
        <v>108</v>
      </c>
      <c r="J44" s="214">
        <f t="shared" ref="J44:J45" si="12">E44*F44</f>
        <v>0</v>
      </c>
      <c r="K44" s="215">
        <f t="shared" ref="K44:K45" si="13">E44*F44</f>
        <v>0</v>
      </c>
      <c r="L44" s="216">
        <f t="shared" ref="L44:L47" si="14">IF($L$4=$J$4,J44,K44)</f>
        <v>0</v>
      </c>
      <c r="N44" s="210" t="s">
        <v>104</v>
      </c>
    </row>
    <row r="45" spans="2:15" x14ac:dyDescent="0.3">
      <c r="B45" s="573" t="s">
        <v>417</v>
      </c>
      <c r="C45" s="123" t="str">
        <f>'1.Initial Parameters'!$D$27</f>
        <v>Hour/year</v>
      </c>
      <c r="D45" s="500">
        <v>3</v>
      </c>
      <c r="E45" s="501">
        <f>VLOOKUP(D45,'1.Initial Parameters'!$D$44:$E$46,2,FALSE)</f>
        <v>709</v>
      </c>
      <c r="F45" s="568">
        <v>0</v>
      </c>
      <c r="G45" s="561"/>
      <c r="H45" s="52"/>
      <c r="I45" s="245" t="s">
        <v>108</v>
      </c>
      <c r="J45" s="214">
        <f t="shared" si="12"/>
        <v>0</v>
      </c>
      <c r="K45" s="215">
        <f t="shared" si="13"/>
        <v>0</v>
      </c>
      <c r="L45" s="216">
        <f t="shared" si="14"/>
        <v>0</v>
      </c>
      <c r="N45" s="210" t="s">
        <v>104</v>
      </c>
    </row>
    <row r="46" spans="2:15" x14ac:dyDescent="0.3">
      <c r="B46" s="573" t="s">
        <v>418</v>
      </c>
      <c r="C46" s="123" t="str">
        <f>'1.Initial Parameters'!$D$25</f>
        <v>EURO/year</v>
      </c>
      <c r="D46" s="562"/>
      <c r="E46" s="501"/>
      <c r="F46" s="574">
        <v>0</v>
      </c>
      <c r="G46" s="561" t="s">
        <v>725</v>
      </c>
      <c r="H46" s="52"/>
      <c r="I46" s="245" t="s">
        <v>109</v>
      </c>
      <c r="J46" s="214">
        <f>IF($J$4='1.Initial Parameters'!$D$3,F46,F46/(1+$K$3))</f>
        <v>0</v>
      </c>
      <c r="K46" s="215">
        <f>IF($K$4='1.Initial Parameters'!$D$3,F46,F46*(1+$K$3))</f>
        <v>0</v>
      </c>
      <c r="L46" s="216">
        <f t="shared" si="14"/>
        <v>0</v>
      </c>
      <c r="N46" s="210" t="s">
        <v>30</v>
      </c>
    </row>
    <row r="47" spans="2:15" x14ac:dyDescent="0.3">
      <c r="B47" s="573" t="s">
        <v>419</v>
      </c>
      <c r="C47" s="123" t="str">
        <f>'1.Initial Parameters'!$D$25</f>
        <v>EURO/year</v>
      </c>
      <c r="D47" s="562"/>
      <c r="E47" s="501"/>
      <c r="F47" s="48">
        <v>0</v>
      </c>
      <c r="G47" s="561" t="s">
        <v>425</v>
      </c>
      <c r="H47" s="52"/>
      <c r="I47" s="257" t="s">
        <v>110</v>
      </c>
      <c r="J47" s="214">
        <f>IF($J$4='1.Initial Parameters'!$D$3,F47,F47/(1+$K$3))</f>
        <v>0</v>
      </c>
      <c r="K47" s="215">
        <f>IF($K$4='1.Initial Parameters'!$D$3,F47,F47*(1+$K$3))</f>
        <v>0</v>
      </c>
      <c r="L47" s="216">
        <f t="shared" si="14"/>
        <v>0</v>
      </c>
      <c r="N47" s="210" t="s">
        <v>30</v>
      </c>
    </row>
    <row r="48" spans="2:15" x14ac:dyDescent="0.3">
      <c r="B48" s="575" t="s">
        <v>420</v>
      </c>
      <c r="C48" s="576" t="str">
        <f>'1.Initial Parameters'!D25</f>
        <v>EURO/year</v>
      </c>
      <c r="D48" s="576"/>
      <c r="E48" s="576"/>
      <c r="F48" s="313">
        <f>$E43*F43+$E44*F44+$E45*F45</f>
        <v>0</v>
      </c>
      <c r="G48" s="576" t="s">
        <v>726</v>
      </c>
      <c r="H48" s="52"/>
      <c r="I48" s="264" t="s">
        <v>111</v>
      </c>
      <c r="J48" s="704">
        <f>SUM(J43:J45)</f>
        <v>0</v>
      </c>
      <c r="K48" s="705">
        <f>SUM(K43:K45)</f>
        <v>0</v>
      </c>
      <c r="L48" s="706">
        <f>SUM(L43:L45)</f>
        <v>0</v>
      </c>
      <c r="N48" s="210" t="s">
        <v>30</v>
      </c>
    </row>
    <row r="49" spans="2:14" ht="15" thickBot="1" x14ac:dyDescent="0.35">
      <c r="B49" s="577" t="s">
        <v>728</v>
      </c>
      <c r="C49" s="578" t="str">
        <f>C48</f>
        <v>EURO/year</v>
      </c>
      <c r="D49" s="578"/>
      <c r="E49" s="578"/>
      <c r="F49" s="312">
        <f>IF($J$14='1.Initial Parameters'!$D$3,'3. Input Data Cloud'!J49,'3. Input Data Cloud'!K49)</f>
        <v>0</v>
      </c>
      <c r="G49" s="578" t="s">
        <v>727</v>
      </c>
      <c r="H49" s="52"/>
      <c r="I49" s="221" t="s">
        <v>111</v>
      </c>
      <c r="J49" s="700">
        <f>SUM(J43:J47)</f>
        <v>0</v>
      </c>
      <c r="K49" s="701">
        <f>SUM(K43:K47)</f>
        <v>0</v>
      </c>
      <c r="L49" s="702">
        <f>SUM(L43:L47)</f>
        <v>0</v>
      </c>
      <c r="N49" s="210" t="s">
        <v>30</v>
      </c>
    </row>
    <row r="50" spans="2:14" ht="15.6" thickTop="1" thickBot="1" x14ac:dyDescent="0.35">
      <c r="B50" s="570"/>
      <c r="C50" s="571"/>
      <c r="D50" s="571"/>
      <c r="E50" s="571"/>
      <c r="F50" s="572"/>
      <c r="G50" s="571"/>
      <c r="N50" s="210" t="s">
        <v>30</v>
      </c>
    </row>
    <row r="51" spans="2:14" ht="15" thickBot="1" x14ac:dyDescent="0.35">
      <c r="B51" s="458" t="s">
        <v>737</v>
      </c>
      <c r="C51" s="459"/>
      <c r="D51" s="459"/>
      <c r="E51" s="459"/>
      <c r="F51" s="460"/>
      <c r="G51" s="461"/>
      <c r="M51" s="699"/>
      <c r="N51" s="210" t="s">
        <v>30</v>
      </c>
    </row>
    <row r="52" spans="2:14" ht="24" customHeight="1" x14ac:dyDescent="0.3">
      <c r="B52" s="134" t="s">
        <v>729</v>
      </c>
      <c r="C52" s="134" t="s">
        <v>260</v>
      </c>
      <c r="D52" s="462" t="s">
        <v>352</v>
      </c>
      <c r="E52" s="134"/>
      <c r="F52" s="135" t="s">
        <v>456</v>
      </c>
      <c r="G52" s="463" t="s">
        <v>251</v>
      </c>
      <c r="J52" s="211" t="s">
        <v>16</v>
      </c>
      <c r="K52" s="212" t="s">
        <v>17</v>
      </c>
      <c r="L52" s="213" t="str">
        <f>'4.TCO Calculation &amp; Comparsion'!$J$3</f>
        <v>VAT included</v>
      </c>
      <c r="N52" s="210" t="s">
        <v>30</v>
      </c>
    </row>
    <row r="53" spans="2:14" ht="27.6" x14ac:dyDescent="0.3">
      <c r="B53" s="464" t="s">
        <v>730</v>
      </c>
      <c r="C53" s="457" t="str">
        <f>JenotkaMěny</f>
        <v>EURO</v>
      </c>
      <c r="D53" s="288" t="str">
        <f>'1.Initial Parameters'!$D$11</f>
        <v>YES</v>
      </c>
      <c r="E53" s="457"/>
      <c r="F53" s="506">
        <v>0</v>
      </c>
      <c r="G53" s="561" t="s">
        <v>738</v>
      </c>
      <c r="I53" s="695" t="s">
        <v>156</v>
      </c>
      <c r="J53" s="214">
        <f>IF($J$4='1.Initial Parameters'!$D$3,F53,F53/(1+$K$3))</f>
        <v>0</v>
      </c>
      <c r="K53" s="215">
        <f>IF($K$4='1.Initial Parameters'!$D$3,F53,F53*(1+$K$3))</f>
        <v>0</v>
      </c>
      <c r="L53" s="216">
        <f t="shared" ref="L53:L54" si="15">IF($L$4=$J$4,J53,K53)</f>
        <v>0</v>
      </c>
      <c r="N53" s="210" t="s">
        <v>30</v>
      </c>
    </row>
    <row r="54" spans="2:14" ht="15" thickBot="1" x14ac:dyDescent="0.35">
      <c r="B54" s="675" t="s">
        <v>731</v>
      </c>
      <c r="C54" s="676" t="str">
        <f>'1.Initial Parameters'!$D$25</f>
        <v>EURO/year</v>
      </c>
      <c r="D54" s="676"/>
      <c r="E54" s="676"/>
      <c r="F54" s="677">
        <v>0</v>
      </c>
      <c r="G54" s="678" t="s">
        <v>739</v>
      </c>
      <c r="I54" s="695" t="s">
        <v>157</v>
      </c>
      <c r="J54" s="214">
        <f>IF($J$4='1.Initial Parameters'!$D$3,F54,F54/(1+$K$3))</f>
        <v>0</v>
      </c>
      <c r="K54" s="215">
        <f>IF($K$4='1.Initial Parameters'!$D$3,F54,F54*(1+$K$3))</f>
        <v>0</v>
      </c>
      <c r="L54" s="216">
        <f t="shared" si="15"/>
        <v>0</v>
      </c>
      <c r="N54" s="210" t="s">
        <v>30</v>
      </c>
    </row>
    <row r="55" spans="2:14" ht="25.2" customHeight="1" thickTop="1" x14ac:dyDescent="0.3">
      <c r="B55" s="134" t="s">
        <v>231</v>
      </c>
      <c r="C55" s="134" t="s">
        <v>260</v>
      </c>
      <c r="D55" s="462" t="s">
        <v>352</v>
      </c>
      <c r="E55" s="134"/>
      <c r="F55" s="135" t="s">
        <v>456</v>
      </c>
      <c r="G55" s="463" t="s">
        <v>251</v>
      </c>
      <c r="I55" s="695"/>
      <c r="J55" s="214"/>
      <c r="K55" s="215"/>
      <c r="L55" s="216"/>
      <c r="N55" s="210" t="s">
        <v>30</v>
      </c>
    </row>
    <row r="56" spans="2:14" x14ac:dyDescent="0.3">
      <c r="B56" s="679" t="s">
        <v>732</v>
      </c>
      <c r="C56" s="457" t="str">
        <f>JenotkaMěny</f>
        <v>EURO</v>
      </c>
      <c r="D56" s="288" t="str">
        <f>'1.Initial Parameters'!$D$11</f>
        <v>YES</v>
      </c>
      <c r="E56" s="457"/>
      <c r="F56" s="506">
        <v>0</v>
      </c>
      <c r="G56" s="561" t="s">
        <v>740</v>
      </c>
      <c r="I56" s="695" t="s">
        <v>45</v>
      </c>
      <c r="J56" s="214">
        <f>IF($J$4='1.Initial Parameters'!$D$3,F56,F56/(1+$K$3))</f>
        <v>0</v>
      </c>
      <c r="K56" s="215">
        <f>IF($K$4='1.Initial Parameters'!$D$3,F56,F56*(1+$K$3))</f>
        <v>0</v>
      </c>
      <c r="L56" s="216">
        <f t="shared" ref="L56:L57" si="16">IF($L$4=$J$4,J56,K56)</f>
        <v>0</v>
      </c>
      <c r="N56" s="210" t="s">
        <v>30</v>
      </c>
    </row>
    <row r="57" spans="2:14" ht="15" thickBot="1" x14ac:dyDescent="0.35">
      <c r="B57" s="676" t="s">
        <v>733</v>
      </c>
      <c r="C57" s="676" t="str">
        <f>'1.Initial Parameters'!$D$25</f>
        <v>EURO/year</v>
      </c>
      <c r="D57" s="676"/>
      <c r="E57" s="676"/>
      <c r="F57" s="677">
        <v>0</v>
      </c>
      <c r="G57" s="678" t="s">
        <v>232</v>
      </c>
      <c r="I57" s="695" t="s">
        <v>42</v>
      </c>
      <c r="J57" s="214">
        <f>IF($J$4='1.Initial Parameters'!$D$3,F57,F57/(1+$K$3))</f>
        <v>0</v>
      </c>
      <c r="K57" s="215">
        <f>IF($K$4='1.Initial Parameters'!$D$3,F57,F57*(1+$K$3))</f>
        <v>0</v>
      </c>
      <c r="L57" s="216">
        <f t="shared" si="16"/>
        <v>0</v>
      </c>
      <c r="N57" s="210" t="s">
        <v>30</v>
      </c>
    </row>
    <row r="58" spans="2:14" ht="22.95" customHeight="1" thickTop="1" x14ac:dyDescent="0.3">
      <c r="B58" s="134" t="s">
        <v>734</v>
      </c>
      <c r="C58" s="134" t="s">
        <v>260</v>
      </c>
      <c r="D58" s="462" t="s">
        <v>352</v>
      </c>
      <c r="E58" s="134"/>
      <c r="F58" s="135" t="s">
        <v>456</v>
      </c>
      <c r="G58" s="463" t="s">
        <v>251</v>
      </c>
      <c r="I58" s="695"/>
      <c r="J58" s="214"/>
      <c r="K58" s="215"/>
      <c r="L58" s="216"/>
      <c r="N58" s="210" t="s">
        <v>30</v>
      </c>
    </row>
    <row r="59" spans="2:14" x14ac:dyDescent="0.3">
      <c r="B59" s="679" t="s">
        <v>735</v>
      </c>
      <c r="C59" s="457" t="str">
        <f>JenotkaMěny</f>
        <v>EURO</v>
      </c>
      <c r="D59" s="288" t="str">
        <f>'1.Initial Parameters'!$D$11</f>
        <v>YES</v>
      </c>
      <c r="E59" s="457"/>
      <c r="F59" s="506">
        <v>0</v>
      </c>
      <c r="G59" s="561" t="s">
        <v>741</v>
      </c>
      <c r="I59" s="695" t="s">
        <v>45</v>
      </c>
      <c r="J59" s="214">
        <f>IF($J$4='1.Initial Parameters'!$D$3,F59,F59/(1+$K$3))</f>
        <v>0</v>
      </c>
      <c r="K59" s="215">
        <f>IF($K$4='1.Initial Parameters'!$D$3,F59,F59*(1+$K$3))</f>
        <v>0</v>
      </c>
      <c r="L59" s="216">
        <f t="shared" ref="L59:L60" si="17">IF($L$4=$J$4,J59,K59)</f>
        <v>0</v>
      </c>
      <c r="N59" s="210" t="s">
        <v>30</v>
      </c>
    </row>
    <row r="60" spans="2:14" ht="15" thickBot="1" x14ac:dyDescent="0.35">
      <c r="B60" s="676" t="s">
        <v>736</v>
      </c>
      <c r="C60" s="676" t="str">
        <f>'1.Initial Parameters'!$D$25</f>
        <v>EURO/year</v>
      </c>
      <c r="D60" s="676"/>
      <c r="E60" s="676"/>
      <c r="F60" s="677">
        <v>0</v>
      </c>
      <c r="G60" s="678" t="s">
        <v>232</v>
      </c>
      <c r="I60" s="695" t="s">
        <v>194</v>
      </c>
      <c r="J60" s="214">
        <f>IF($J$4='1.Initial Parameters'!$D$3,F60,F60/(1+$K$3))</f>
        <v>0</v>
      </c>
      <c r="K60" s="215">
        <f>IF($K$4='1.Initial Parameters'!$D$3,F60,F60*(1+$K$3))</f>
        <v>0</v>
      </c>
      <c r="L60" s="216">
        <f t="shared" si="17"/>
        <v>0</v>
      </c>
      <c r="N60" s="210" t="s">
        <v>30</v>
      </c>
    </row>
    <row r="61" spans="2:14" ht="15" thickTop="1" x14ac:dyDescent="0.3">
      <c r="B61" s="570"/>
      <c r="C61" s="571"/>
      <c r="D61" s="571"/>
      <c r="E61" s="571"/>
      <c r="F61" s="571"/>
      <c r="G61" s="571"/>
      <c r="N61" s="210" t="s">
        <v>30</v>
      </c>
    </row>
    <row r="62" spans="2:14" ht="43.95" customHeight="1" x14ac:dyDescent="0.3">
      <c r="B62" s="463" t="s">
        <v>742</v>
      </c>
      <c r="C62" s="134" t="s">
        <v>260</v>
      </c>
      <c r="D62" s="111" t="s">
        <v>323</v>
      </c>
      <c r="E62" s="137"/>
      <c r="F62" s="135" t="s">
        <v>456</v>
      </c>
      <c r="G62" s="463" t="s">
        <v>251</v>
      </c>
      <c r="J62" s="211" t="s">
        <v>16</v>
      </c>
      <c r="K62" s="212" t="s">
        <v>17</v>
      </c>
      <c r="L62" s="213" t="str">
        <f>'4.TCO Calculation &amp; Comparsion'!$J$3</f>
        <v>VAT included</v>
      </c>
      <c r="N62" s="210" t="s">
        <v>30</v>
      </c>
    </row>
    <row r="63" spans="2:14" x14ac:dyDescent="0.3">
      <c r="B63" s="132" t="s">
        <v>743</v>
      </c>
      <c r="C63" s="680" t="str">
        <f>JenotkaMěny</f>
        <v>EURO</v>
      </c>
      <c r="D63" s="295" t="str">
        <f>'1.Initial Parameters'!$D$11</f>
        <v>YES</v>
      </c>
      <c r="E63" s="495"/>
      <c r="F63" s="496">
        <v>0</v>
      </c>
      <c r="G63" s="497"/>
      <c r="I63" s="695" t="s">
        <v>47</v>
      </c>
      <c r="J63" s="214">
        <f>IF($J$4='1.Initial Parameters'!$D$3,F63,F63/(1+$K$3))</f>
        <v>0</v>
      </c>
      <c r="K63" s="215">
        <f>IF($K$4='1.Initial Parameters'!$D$3,F63,F63*(1+$K$3))</f>
        <v>0</v>
      </c>
      <c r="L63" s="216">
        <f t="shared" ref="L63" si="18">IF($L$4=$J$4,J63,K63)</f>
        <v>0</v>
      </c>
      <c r="N63" s="210" t="s">
        <v>30</v>
      </c>
    </row>
    <row r="64" spans="2:14" x14ac:dyDescent="0.3">
      <c r="B64" s="498" t="s">
        <v>821</v>
      </c>
      <c r="C64" s="499" t="str">
        <f>'1.Initial Parameters'!$D$35</f>
        <v>Hour</v>
      </c>
      <c r="D64" s="500">
        <v>2</v>
      </c>
      <c r="E64" s="501">
        <f>VLOOKUP(D64,'1.Initial Parameters'!$D$44:$E$46,2,FALSE)</f>
        <v>657</v>
      </c>
      <c r="F64" s="502">
        <v>0</v>
      </c>
      <c r="G64" s="503"/>
      <c r="I64" s="695" t="s">
        <v>158</v>
      </c>
      <c r="J64" s="214"/>
      <c r="K64" s="215"/>
      <c r="L64" s="216"/>
      <c r="N64" s="210" t="s">
        <v>49</v>
      </c>
    </row>
    <row r="65" spans="2:14" ht="15" thickBot="1" x14ac:dyDescent="0.35">
      <c r="B65" s="123" t="s">
        <v>822</v>
      </c>
      <c r="C65" s="680" t="str">
        <f>JenotkaMěny</f>
        <v>EURO</v>
      </c>
      <c r="D65" s="288" t="str">
        <f>'1.Initial Parameters'!$D$11</f>
        <v>YES</v>
      </c>
      <c r="E65" s="501"/>
      <c r="F65" s="70">
        <f>E64*F64</f>
        <v>0</v>
      </c>
      <c r="G65" s="503"/>
      <c r="I65" s="695" t="s">
        <v>50</v>
      </c>
      <c r="J65" s="214">
        <f>IF($J$4='1.Initial Parameters'!$D$3,F65,F65/(1+$K$3))</f>
        <v>0</v>
      </c>
      <c r="K65" s="215">
        <f>IF($K$4='1.Initial Parameters'!$D$3,F65,F65*(1+$K$3))</f>
        <v>0</v>
      </c>
      <c r="L65" s="216">
        <f t="shared" ref="L65:L66" si="19">IF($L$4=$J$4,J65,K65)</f>
        <v>0</v>
      </c>
      <c r="N65" s="210" t="s">
        <v>30</v>
      </c>
    </row>
    <row r="66" spans="2:14" ht="15.6" thickTop="1" thickBot="1" x14ac:dyDescent="0.35">
      <c r="B66" s="544" t="s">
        <v>744</v>
      </c>
      <c r="C66" s="544" t="str">
        <f>'1.Initial Parameters'!$D$25</f>
        <v>EURO/year</v>
      </c>
      <c r="D66" s="545"/>
      <c r="E66" s="545"/>
      <c r="F66" s="681">
        <v>0</v>
      </c>
      <c r="G66" s="547"/>
      <c r="H66" s="52"/>
      <c r="I66" s="220" t="s">
        <v>159</v>
      </c>
      <c r="J66" s="696">
        <f>IF($J$4='1.Initial Parameters'!$D$3,F66,F66/(1+$K$3))</f>
        <v>0</v>
      </c>
      <c r="K66" s="697">
        <f>IF($K$4='1.Initial Parameters'!$D$3,F66,F66*(1+$K$3))</f>
        <v>0</v>
      </c>
      <c r="L66" s="698">
        <f t="shared" si="19"/>
        <v>0</v>
      </c>
      <c r="N66" s="210" t="s">
        <v>30</v>
      </c>
    </row>
    <row r="67" spans="2:14" ht="15" thickTop="1" x14ac:dyDescent="0.3">
      <c r="B67" s="570"/>
      <c r="C67" s="571"/>
      <c r="D67" s="571"/>
      <c r="E67" s="571"/>
      <c r="F67" s="571"/>
      <c r="G67" s="571"/>
      <c r="N67" s="210" t="s">
        <v>30</v>
      </c>
    </row>
    <row r="68" spans="2:14" x14ac:dyDescent="0.3">
      <c r="B68" s="593" t="s">
        <v>160</v>
      </c>
      <c r="C68" s="594" t="s">
        <v>260</v>
      </c>
      <c r="D68" s="115"/>
      <c r="E68" s="596"/>
      <c r="F68" s="682" t="s">
        <v>456</v>
      </c>
      <c r="G68" s="593" t="s">
        <v>251</v>
      </c>
      <c r="J68" s="211" t="s">
        <v>16</v>
      </c>
      <c r="K68" s="212" t="s">
        <v>17</v>
      </c>
      <c r="L68" s="213" t="str">
        <f>'4.TCO Calculation &amp; Comparsion'!$J$3</f>
        <v>VAT included</v>
      </c>
      <c r="N68" s="210" t="s">
        <v>30</v>
      </c>
    </row>
    <row r="69" spans="2:14" ht="19.95" customHeight="1" thickBot="1" x14ac:dyDescent="0.35">
      <c r="B69" s="675" t="s">
        <v>745</v>
      </c>
      <c r="C69" s="127" t="str">
        <f>'1.Initial Parameters'!$D$25</f>
        <v>EURO/year</v>
      </c>
      <c r="D69" s="676"/>
      <c r="E69" s="676"/>
      <c r="F69" s="677">
        <v>0</v>
      </c>
      <c r="G69" s="678" t="s">
        <v>746</v>
      </c>
      <c r="I69" s="695" t="s">
        <v>70</v>
      </c>
      <c r="J69" s="214">
        <f>IF($J$4='1.Initial Parameters'!$D$3,F69,F69/(1+$K$3))</f>
        <v>0</v>
      </c>
      <c r="K69" s="215">
        <f>IF($K$4='1.Initial Parameters'!$D$3,F69,F69*(1+$K$3))</f>
        <v>0</v>
      </c>
      <c r="L69" s="216">
        <f t="shared" ref="L69" si="20">IF($L$4=$J$4,J69,K69)</f>
        <v>0</v>
      </c>
      <c r="N69" s="210" t="s">
        <v>30</v>
      </c>
    </row>
    <row r="70" spans="2:14" ht="15" thickTop="1" x14ac:dyDescent="0.3">
      <c r="B70" s="123"/>
      <c r="C70" s="507"/>
      <c r="D70" s="507"/>
      <c r="E70" s="507"/>
      <c r="F70" s="507"/>
      <c r="G70" s="536"/>
      <c r="N70" s="210" t="s">
        <v>30</v>
      </c>
    </row>
    <row r="71" spans="2:14" ht="23.25" customHeight="1" x14ac:dyDescent="0.3">
      <c r="B71" s="474" t="s">
        <v>809</v>
      </c>
      <c r="C71" s="474" t="s">
        <v>260</v>
      </c>
      <c r="D71" s="475" t="s">
        <v>747</v>
      </c>
      <c r="E71" s="475"/>
      <c r="F71" s="135" t="s">
        <v>456</v>
      </c>
      <c r="G71" s="463" t="s">
        <v>251</v>
      </c>
      <c r="J71" s="211" t="s">
        <v>16</v>
      </c>
      <c r="K71" s="212" t="s">
        <v>17</v>
      </c>
      <c r="L71" s="213" t="str">
        <f>'4.TCO Calculation &amp; Comparsion'!$J$3</f>
        <v>VAT included</v>
      </c>
      <c r="N71" s="210" t="s">
        <v>30</v>
      </c>
    </row>
    <row r="72" spans="2:14" x14ac:dyDescent="0.3">
      <c r="B72" s="123" t="s">
        <v>810</v>
      </c>
      <c r="C72" s="123" t="str">
        <f>JenotkaMěny</f>
        <v>EURO</v>
      </c>
      <c r="D72" s="288" t="str">
        <f>'1.Initial Parameters'!$D$11</f>
        <v>YES</v>
      </c>
      <c r="E72" s="542"/>
      <c r="F72" s="535">
        <v>0</v>
      </c>
      <c r="G72" s="503"/>
      <c r="I72" s="220" t="s">
        <v>76</v>
      </c>
      <c r="J72" s="214">
        <f>IF($J$4='1.Initial Parameters'!$D$3,F72,F72/(1+$K$3))</f>
        <v>0</v>
      </c>
      <c r="K72" s="215">
        <f>IF($K$4='1.Initial Parameters'!$D$3,F72,F72*(1+$K$3))</f>
        <v>0</v>
      </c>
      <c r="L72" s="216">
        <f t="shared" ref="L72:L73" si="21">IF($L$4=$J$4,J72,K72)</f>
        <v>0</v>
      </c>
      <c r="N72" s="210" t="s">
        <v>30</v>
      </c>
    </row>
    <row r="73" spans="2:14" x14ac:dyDescent="0.3">
      <c r="B73" s="132" t="s">
        <v>823</v>
      </c>
      <c r="C73" s="132" t="str">
        <f>JenotkaMěny</f>
        <v>EURO</v>
      </c>
      <c r="D73" s="295" t="str">
        <f>'1.Initial Parameters'!$D$11</f>
        <v>YES</v>
      </c>
      <c r="E73" s="683"/>
      <c r="F73" s="684">
        <v>0</v>
      </c>
      <c r="G73" s="497"/>
      <c r="I73" s="220" t="s">
        <v>77</v>
      </c>
      <c r="J73" s="214">
        <f>IF($J$4='1.Initial Parameters'!$D$3,F73,F73/(1+$K$3))</f>
        <v>0</v>
      </c>
      <c r="K73" s="215">
        <f>IF($K$4='1.Initial Parameters'!$D$3,F73,F73*(1+$K$3))</f>
        <v>0</v>
      </c>
      <c r="L73" s="216">
        <f t="shared" si="21"/>
        <v>0</v>
      </c>
      <c r="N73" s="210" t="s">
        <v>30</v>
      </c>
    </row>
    <row r="74" spans="2:14" ht="15" thickBot="1" x14ac:dyDescent="0.35">
      <c r="B74" s="127" t="s">
        <v>824</v>
      </c>
      <c r="C74" s="544" t="str">
        <f>'1.Initial Parameters'!$D$25</f>
        <v>EURO/year</v>
      </c>
      <c r="D74" s="128"/>
      <c r="E74" s="128"/>
      <c r="F74" s="685">
        <v>0</v>
      </c>
      <c r="G74" s="686" t="s">
        <v>748</v>
      </c>
      <c r="H74" s="52"/>
      <c r="I74" s="220" t="s">
        <v>78</v>
      </c>
      <c r="J74" s="214">
        <f>IF($J$4='1.Initial Parameters'!$D$3,F74,F74/(1+$K$3))</f>
        <v>0</v>
      </c>
      <c r="K74" s="215">
        <f>IF($K$4='1.Initial Parameters'!$D$3,F74,F74*(1+$K$3))</f>
        <v>0</v>
      </c>
      <c r="L74" s="216">
        <f t="shared" ref="L74" si="22">IF($L$4=$J$4,J74,K74)</f>
        <v>0</v>
      </c>
      <c r="N74" s="210" t="s">
        <v>30</v>
      </c>
    </row>
    <row r="75" spans="2:14" ht="15" thickTop="1" x14ac:dyDescent="0.3">
      <c r="B75" s="123"/>
      <c r="C75" s="507"/>
      <c r="D75" s="507"/>
      <c r="E75" s="507"/>
      <c r="F75" s="507"/>
      <c r="G75" s="536"/>
      <c r="N75" s="210" t="s">
        <v>30</v>
      </c>
    </row>
    <row r="76" spans="2:14" ht="15.6" x14ac:dyDescent="0.3">
      <c r="B76" s="454" t="s">
        <v>749</v>
      </c>
      <c r="F76" s="654"/>
      <c r="G76" s="451"/>
      <c r="N76" s="210" t="s">
        <v>30</v>
      </c>
    </row>
    <row r="77" spans="2:14" ht="3.6" customHeight="1" thickBot="1" x14ac:dyDescent="0.35">
      <c r="F77" s="654"/>
      <c r="G77" s="451"/>
      <c r="N77" s="210" t="s">
        <v>30</v>
      </c>
    </row>
    <row r="78" spans="2:14" ht="15" thickBot="1" x14ac:dyDescent="0.35">
      <c r="B78" s="458" t="s">
        <v>826</v>
      </c>
      <c r="C78" s="459"/>
      <c r="D78" s="459"/>
      <c r="E78" s="459"/>
      <c r="F78" s="460"/>
      <c r="G78" s="461"/>
      <c r="N78" s="210" t="s">
        <v>30</v>
      </c>
    </row>
    <row r="79" spans="2:14" x14ac:dyDescent="0.3">
      <c r="B79" s="134" t="s">
        <v>750</v>
      </c>
      <c r="C79" s="134" t="s">
        <v>260</v>
      </c>
      <c r="D79" s="558" t="s">
        <v>88</v>
      </c>
      <c r="E79" s="137" t="s">
        <v>724</v>
      </c>
      <c r="F79" s="135" t="s">
        <v>456</v>
      </c>
      <c r="G79" s="463" t="s">
        <v>251</v>
      </c>
      <c r="J79" s="211" t="s">
        <v>16</v>
      </c>
      <c r="K79" s="212" t="s">
        <v>17</v>
      </c>
      <c r="L79" s="213" t="str">
        <f>'4.TCO Calculation &amp; Comparsion'!$J$3</f>
        <v>VAT included</v>
      </c>
      <c r="N79" s="210" t="s">
        <v>30</v>
      </c>
    </row>
    <row r="80" spans="2:14" x14ac:dyDescent="0.3">
      <c r="B80" s="123" t="s">
        <v>751</v>
      </c>
      <c r="C80" s="499" t="str">
        <f>'1.Initial Parameters'!$D$35</f>
        <v>Hour</v>
      </c>
      <c r="D80" s="500">
        <v>2</v>
      </c>
      <c r="E80" s="501">
        <f>IF(D80=1,HodinovaSazbaIT,IF(D80=2,HodinSazbaIT2,IF(D80=3,HodinSazbaIT3)))</f>
        <v>657</v>
      </c>
      <c r="F80" s="502">
        <v>0</v>
      </c>
      <c r="G80" s="503"/>
      <c r="I80" s="695" t="s">
        <v>112</v>
      </c>
      <c r="J80" s="214">
        <f>E80*F80</f>
        <v>0</v>
      </c>
      <c r="K80" s="215">
        <f>E80*F80</f>
        <v>0</v>
      </c>
      <c r="L80" s="216">
        <f t="shared" ref="L80" si="23">IF($L$4=$J$4,J80,K80)</f>
        <v>0</v>
      </c>
      <c r="N80" s="210" t="s">
        <v>49</v>
      </c>
    </row>
    <row r="81" spans="2:14" x14ac:dyDescent="0.3">
      <c r="B81" s="123" t="s">
        <v>429</v>
      </c>
      <c r="C81" s="123" t="str">
        <f>JenotkaMěny</f>
        <v>EURO</v>
      </c>
      <c r="D81" s="562"/>
      <c r="E81" s="501"/>
      <c r="F81" s="506">
        <v>0</v>
      </c>
      <c r="G81" s="503"/>
      <c r="I81" s="695" t="s">
        <v>112</v>
      </c>
      <c r="J81" s="214">
        <f>IF($J$4='1.Initial Parameters'!$D$3,F81,F81/(1+$K$3))</f>
        <v>0</v>
      </c>
      <c r="K81" s="215">
        <f>IF($K$4='1.Initial Parameters'!$D$3,F81,F81*(1+$K$3))</f>
        <v>0</v>
      </c>
      <c r="L81" s="216">
        <f t="shared" ref="L81:L83" si="24">IF($L$4=$J$4,J81,K81)</f>
        <v>0</v>
      </c>
      <c r="N81" s="210" t="s">
        <v>30</v>
      </c>
    </row>
    <row r="82" spans="2:14" x14ac:dyDescent="0.3">
      <c r="B82" s="123" t="s">
        <v>430</v>
      </c>
      <c r="C82" s="499" t="str">
        <f>'1.Initial Parameters'!$D$35</f>
        <v>Hour</v>
      </c>
      <c r="D82" s="500">
        <v>1</v>
      </c>
      <c r="E82" s="501">
        <f>IF(D82=1,HodinovaSazbaIT,IF(D82=2,HodinSazbaIT2,IF(D82=3,HodinSazbaIT3)))</f>
        <v>654</v>
      </c>
      <c r="F82" s="502">
        <v>0</v>
      </c>
      <c r="G82" s="503"/>
      <c r="I82" s="695" t="s">
        <v>114</v>
      </c>
      <c r="J82" s="214">
        <f>E82*F82</f>
        <v>0</v>
      </c>
      <c r="K82" s="215">
        <f>E82*F82</f>
        <v>0</v>
      </c>
      <c r="L82" s="216">
        <f t="shared" si="24"/>
        <v>0</v>
      </c>
      <c r="N82" s="210" t="s">
        <v>49</v>
      </c>
    </row>
    <row r="83" spans="2:14" x14ac:dyDescent="0.3">
      <c r="B83" s="580" t="s">
        <v>431</v>
      </c>
      <c r="C83" s="123" t="str">
        <f>JenotkaMěny</f>
        <v>EURO</v>
      </c>
      <c r="D83" s="562"/>
      <c r="E83" s="501"/>
      <c r="F83" s="535">
        <v>0</v>
      </c>
      <c r="G83" s="561"/>
      <c r="I83" s="695" t="s">
        <v>114</v>
      </c>
      <c r="J83" s="214">
        <f>IF($J$4='1.Initial Parameters'!$D$3,F83,F83/(1+$K$3))</f>
        <v>0</v>
      </c>
      <c r="K83" s="215">
        <f>IF($K$4='1.Initial Parameters'!$D$3,F83,F83*(1+$K$3))</f>
        <v>0</v>
      </c>
      <c r="L83" s="216">
        <f t="shared" si="24"/>
        <v>0</v>
      </c>
      <c r="N83" s="210" t="s">
        <v>30</v>
      </c>
    </row>
    <row r="84" spans="2:14" ht="15" thickBot="1" x14ac:dyDescent="0.35">
      <c r="B84" s="687" t="s">
        <v>752</v>
      </c>
      <c r="C84" s="687" t="str">
        <f>JenotkaMěny</f>
        <v>EURO</v>
      </c>
      <c r="D84" s="589"/>
      <c r="E84" s="589"/>
      <c r="F84" s="312">
        <f>IF($J$14='1.Initial Parameters'!$D$3,'3. Input Data Cloud'!J84,'3. Input Data Cloud'!K84)</f>
        <v>0</v>
      </c>
      <c r="G84" s="589" t="str">
        <f>_xlfn.CONCAT(JenotkaMěny,"/total")</f>
        <v>EURO/total</v>
      </c>
      <c r="J84" s="707">
        <f>SUM(J80:J83)</f>
        <v>0</v>
      </c>
      <c r="K84" s="708">
        <f>SUM(K80:K83)</f>
        <v>0</v>
      </c>
      <c r="L84" s="709">
        <f>SUM(L80:L83)</f>
        <v>0</v>
      </c>
      <c r="N84" s="210" t="s">
        <v>30</v>
      </c>
    </row>
    <row r="85" spans="2:14" ht="19.8" thickTop="1" x14ac:dyDescent="0.3">
      <c r="B85" s="134" t="s">
        <v>753</v>
      </c>
      <c r="C85" s="474" t="s">
        <v>260</v>
      </c>
      <c r="D85" s="475" t="s">
        <v>747</v>
      </c>
      <c r="E85" s="475"/>
      <c r="F85" s="135" t="s">
        <v>456</v>
      </c>
      <c r="G85" s="463" t="s">
        <v>251</v>
      </c>
      <c r="N85" s="210" t="s">
        <v>30</v>
      </c>
    </row>
    <row r="86" spans="2:14" ht="21" thickBot="1" x14ac:dyDescent="0.35">
      <c r="B86" s="584" t="s">
        <v>433</v>
      </c>
      <c r="C86" s="585"/>
      <c r="D86" s="294" t="str">
        <f>'1.Initial Parameters'!$D$11</f>
        <v>YES</v>
      </c>
      <c r="E86" s="585"/>
      <c r="F86" s="590"/>
      <c r="G86" s="586" t="s">
        <v>435</v>
      </c>
      <c r="N86" s="210" t="s">
        <v>30</v>
      </c>
    </row>
    <row r="87" spans="2:14" ht="16.2" thickTop="1" x14ac:dyDescent="0.3">
      <c r="B87" s="454"/>
      <c r="C87" s="499"/>
      <c r="D87" s="499"/>
      <c r="E87" s="499"/>
      <c r="F87" s="587"/>
      <c r="N87" s="210" t="s">
        <v>30</v>
      </c>
    </row>
    <row r="88" spans="2:14" ht="27.6" x14ac:dyDescent="0.3">
      <c r="B88" s="463" t="s">
        <v>436</v>
      </c>
      <c r="C88" s="134" t="s">
        <v>260</v>
      </c>
      <c r="D88" s="558" t="s">
        <v>88</v>
      </c>
      <c r="E88" s="137" t="s">
        <v>724</v>
      </c>
      <c r="F88" s="135" t="s">
        <v>456</v>
      </c>
      <c r="G88" s="463" t="s">
        <v>251</v>
      </c>
      <c r="H88" s="52"/>
      <c r="I88" s="202"/>
      <c r="J88" s="211" t="s">
        <v>16</v>
      </c>
      <c r="K88" s="212" t="s">
        <v>17</v>
      </c>
      <c r="L88" s="213" t="str">
        <f>'4.TCO Calculation &amp; Comparsion'!$J$3</f>
        <v>VAT included</v>
      </c>
      <c r="N88" s="210" t="s">
        <v>30</v>
      </c>
    </row>
    <row r="89" spans="2:14" ht="27.6" x14ac:dyDescent="0.3">
      <c r="B89" s="569" t="s">
        <v>754</v>
      </c>
      <c r="C89" s="499" t="str">
        <f>'1.Initial Parameters'!$D$35</f>
        <v>Hour</v>
      </c>
      <c r="D89" s="500">
        <v>1</v>
      </c>
      <c r="E89" s="501">
        <f>VLOOKUP(D89,'1.Initial Parameters'!$D$44:$E$46,2,FALSE)</f>
        <v>654</v>
      </c>
      <c r="F89" s="502">
        <v>0</v>
      </c>
      <c r="G89" s="503"/>
      <c r="H89" s="52"/>
      <c r="I89" s="220" t="s">
        <v>116</v>
      </c>
      <c r="J89" s="214">
        <f t="shared" ref="J89:J115" si="25">E89*F89</f>
        <v>0</v>
      </c>
      <c r="K89" s="215">
        <f t="shared" ref="K89:K115" si="26">E89*F89</f>
        <v>0</v>
      </c>
      <c r="L89" s="216">
        <f t="shared" ref="L89:L90" si="27">IF($L$4=$J$4,J89,K89)</f>
        <v>0</v>
      </c>
      <c r="N89" s="210" t="s">
        <v>49</v>
      </c>
    </row>
    <row r="90" spans="2:14" ht="27.6" x14ac:dyDescent="0.3">
      <c r="B90" s="569" t="s">
        <v>754</v>
      </c>
      <c r="C90" s="123" t="str">
        <f>JenotkaMěny</f>
        <v>EURO</v>
      </c>
      <c r="D90" s="569"/>
      <c r="E90" s="668"/>
      <c r="F90" s="535">
        <v>0</v>
      </c>
      <c r="G90" s="503" t="s">
        <v>457</v>
      </c>
      <c r="H90" s="1"/>
      <c r="I90" s="220" t="s">
        <v>116</v>
      </c>
      <c r="J90" s="214">
        <f>IF($J$4='1.Initial Parameters'!$D$3,F90,F90/(1+$K$3))</f>
        <v>0</v>
      </c>
      <c r="K90" s="215">
        <f>IF($K$4='1.Initial Parameters'!$D$3,F90,F90*(1+$K$3))</f>
        <v>0</v>
      </c>
      <c r="L90" s="216">
        <f t="shared" si="27"/>
        <v>0</v>
      </c>
      <c r="N90" s="210" t="s">
        <v>30</v>
      </c>
    </row>
    <row r="91" spans="2:14" x14ac:dyDescent="0.3">
      <c r="B91" s="569" t="s">
        <v>438</v>
      </c>
      <c r="C91" s="499" t="str">
        <f>'1.Initial Parameters'!$D$35</f>
        <v>Hour</v>
      </c>
      <c r="D91" s="500">
        <v>2</v>
      </c>
      <c r="E91" s="501">
        <f>VLOOKUP(D91,'1.Initial Parameters'!$D$44:$E$46,2,FALSE)</f>
        <v>657</v>
      </c>
      <c r="F91" s="502">
        <v>0</v>
      </c>
      <c r="G91" s="503"/>
      <c r="H91" s="52"/>
      <c r="I91" s="220" t="s">
        <v>118</v>
      </c>
      <c r="J91" s="214">
        <f>E91*F91</f>
        <v>0</v>
      </c>
      <c r="K91" s="215">
        <f>E91*F91</f>
        <v>0</v>
      </c>
      <c r="L91" s="216">
        <f>IF($L$4=$J$4,J91,K91)</f>
        <v>0</v>
      </c>
      <c r="N91" s="210" t="s">
        <v>49</v>
      </c>
    </row>
    <row r="92" spans="2:14" x14ac:dyDescent="0.3">
      <c r="B92" s="569" t="s">
        <v>438</v>
      </c>
      <c r="C92" s="123" t="str">
        <f>JenotkaMěny</f>
        <v>EURO</v>
      </c>
      <c r="D92" s="569"/>
      <c r="E92" s="501"/>
      <c r="F92" s="535">
        <v>0</v>
      </c>
      <c r="G92" s="503" t="s">
        <v>457</v>
      </c>
      <c r="H92" s="52"/>
      <c r="I92" s="220" t="s">
        <v>118</v>
      </c>
      <c r="J92" s="214">
        <f>IF($J$4='1.Initial Parameters'!$D$3,F92,F92/(1+$K$3))</f>
        <v>0</v>
      </c>
      <c r="K92" s="215">
        <f>IF($K$4='1.Initial Parameters'!$D$3,F92,F92*(1+$K$3))</f>
        <v>0</v>
      </c>
      <c r="L92" s="216">
        <f t="shared" ref="L92" si="28">IF($L$4=$J$4,J92,K92)</f>
        <v>0</v>
      </c>
      <c r="N92" s="210" t="s">
        <v>30</v>
      </c>
    </row>
    <row r="93" spans="2:14" x14ac:dyDescent="0.3">
      <c r="B93" s="569" t="s">
        <v>755</v>
      </c>
      <c r="C93" s="499" t="str">
        <f>'1.Initial Parameters'!$D$35</f>
        <v>Hour</v>
      </c>
      <c r="D93" s="500">
        <v>3</v>
      </c>
      <c r="E93" s="501">
        <f>VLOOKUP(D93,'1.Initial Parameters'!$D$44:$E$46,2,FALSE)</f>
        <v>709</v>
      </c>
      <c r="F93" s="502">
        <v>0</v>
      </c>
      <c r="G93" s="503"/>
      <c r="H93" s="52"/>
      <c r="I93" s="220" t="s">
        <v>117</v>
      </c>
      <c r="J93" s="214">
        <f t="shared" si="25"/>
        <v>0</v>
      </c>
      <c r="K93" s="215">
        <f t="shared" si="26"/>
        <v>0</v>
      </c>
      <c r="L93" s="216">
        <f t="shared" ref="L93:L118" si="29">IF($L$4=$J$4,J93,K93)</f>
        <v>0</v>
      </c>
      <c r="N93" s="210" t="s">
        <v>49</v>
      </c>
    </row>
    <row r="94" spans="2:14" x14ac:dyDescent="0.3">
      <c r="B94" s="569" t="s">
        <v>756</v>
      </c>
      <c r="C94" s="123" t="str">
        <f>JenotkaMěny</f>
        <v>EURO</v>
      </c>
      <c r="D94" s="569"/>
      <c r="E94" s="501"/>
      <c r="F94" s="535">
        <v>0</v>
      </c>
      <c r="G94" s="503" t="s">
        <v>457</v>
      </c>
      <c r="H94" s="52"/>
      <c r="I94" s="220" t="s">
        <v>117</v>
      </c>
      <c r="J94" s="214">
        <f>IF($J$4='1.Initial Parameters'!$D$3,F94,F94/(1+$K$3))</f>
        <v>0</v>
      </c>
      <c r="K94" s="215">
        <f>IF($K$4='1.Initial Parameters'!$D$3,F94,F94*(1+$K$3))</f>
        <v>0</v>
      </c>
      <c r="L94" s="216">
        <f t="shared" ref="L94" si="30">IF($L$4=$J$4,J94,K94)</f>
        <v>0</v>
      </c>
      <c r="N94" s="210" t="s">
        <v>30</v>
      </c>
    </row>
    <row r="95" spans="2:14" ht="27.6" x14ac:dyDescent="0.3">
      <c r="B95" s="569" t="s">
        <v>440</v>
      </c>
      <c r="C95" s="499" t="str">
        <f>'1.Initial Parameters'!$D$35</f>
        <v>Hour</v>
      </c>
      <c r="D95" s="500">
        <v>2</v>
      </c>
      <c r="E95" s="501">
        <f>VLOOKUP(D95,'1.Initial Parameters'!$D$44:$E$46,2,FALSE)</f>
        <v>657</v>
      </c>
      <c r="F95" s="502">
        <v>0</v>
      </c>
      <c r="G95" s="503"/>
      <c r="H95" s="52"/>
      <c r="I95" s="220" t="s">
        <v>117</v>
      </c>
      <c r="J95" s="214">
        <f t="shared" si="25"/>
        <v>0</v>
      </c>
      <c r="K95" s="215">
        <f t="shared" si="26"/>
        <v>0</v>
      </c>
      <c r="L95" s="216">
        <f t="shared" si="29"/>
        <v>0</v>
      </c>
      <c r="N95" s="210" t="s">
        <v>49</v>
      </c>
    </row>
    <row r="96" spans="2:14" ht="27.6" x14ac:dyDescent="0.3">
      <c r="B96" s="569" t="s">
        <v>440</v>
      </c>
      <c r="C96" s="123" t="str">
        <f>JenotkaMěny</f>
        <v>EURO</v>
      </c>
      <c r="D96" s="569"/>
      <c r="E96" s="668"/>
      <c r="F96" s="535">
        <v>0</v>
      </c>
      <c r="G96" s="503" t="s">
        <v>457</v>
      </c>
      <c r="H96" s="1"/>
      <c r="I96" s="220" t="s">
        <v>117</v>
      </c>
      <c r="J96" s="214">
        <f>IF($J$4='1.Initial Parameters'!$D$3,F96,F96/(1+$K$3))</f>
        <v>0</v>
      </c>
      <c r="K96" s="215">
        <f>IF($K$4='1.Initial Parameters'!$D$3,F96,F96*(1+$K$3))</f>
        <v>0</v>
      </c>
      <c r="L96" s="216">
        <f t="shared" ref="L96" si="31">IF($L$4=$J$4,J96,K96)</f>
        <v>0</v>
      </c>
      <c r="N96" s="210" t="s">
        <v>30</v>
      </c>
    </row>
    <row r="97" spans="2:14" x14ac:dyDescent="0.3">
      <c r="B97" s="569" t="s">
        <v>441</v>
      </c>
      <c r="C97" s="499" t="str">
        <f>'1.Initial Parameters'!$D$35</f>
        <v>Hour</v>
      </c>
      <c r="D97" s="500">
        <v>3</v>
      </c>
      <c r="E97" s="501">
        <f>VLOOKUP(D97,'1.Initial Parameters'!$D$44:$E$46,2,FALSE)</f>
        <v>709</v>
      </c>
      <c r="F97" s="502">
        <v>0</v>
      </c>
      <c r="G97" s="503"/>
      <c r="H97" s="52"/>
      <c r="I97" s="220" t="s">
        <v>119</v>
      </c>
      <c r="J97" s="214">
        <f t="shared" si="25"/>
        <v>0</v>
      </c>
      <c r="K97" s="215">
        <f t="shared" si="26"/>
        <v>0</v>
      </c>
      <c r="L97" s="216">
        <f t="shared" si="29"/>
        <v>0</v>
      </c>
      <c r="N97" s="210" t="s">
        <v>49</v>
      </c>
    </row>
    <row r="98" spans="2:14" x14ac:dyDescent="0.3">
      <c r="B98" s="569" t="s">
        <v>441</v>
      </c>
      <c r="C98" s="123" t="str">
        <f>JenotkaMěny</f>
        <v>EURO</v>
      </c>
      <c r="D98" s="569"/>
      <c r="E98" s="501"/>
      <c r="F98" s="535">
        <v>0</v>
      </c>
      <c r="G98" s="503" t="s">
        <v>457</v>
      </c>
      <c r="H98" s="52"/>
      <c r="I98" s="220" t="s">
        <v>119</v>
      </c>
      <c r="J98" s="214">
        <f>IF($J$4='1.Initial Parameters'!$D$3,F98,F98/(1+$K$3))</f>
        <v>0</v>
      </c>
      <c r="K98" s="215">
        <f>IF($K$4='1.Initial Parameters'!$D$3,F98,F98*(1+$K$3))</f>
        <v>0</v>
      </c>
      <c r="L98" s="216">
        <f t="shared" ref="L98" si="32">IF($L$4=$J$4,J98,K98)</f>
        <v>0</v>
      </c>
      <c r="N98" s="210" t="s">
        <v>30</v>
      </c>
    </row>
    <row r="99" spans="2:14" x14ac:dyDescent="0.3">
      <c r="B99" s="569" t="s">
        <v>442</v>
      </c>
      <c r="C99" s="499" t="str">
        <f>'1.Initial Parameters'!$D$35</f>
        <v>Hour</v>
      </c>
      <c r="D99" s="500">
        <v>3</v>
      </c>
      <c r="E99" s="501">
        <f>VLOOKUP(D99,'1.Initial Parameters'!$D$44:$E$46,2,FALSE)</f>
        <v>709</v>
      </c>
      <c r="F99" s="502">
        <v>0</v>
      </c>
      <c r="G99" s="503"/>
      <c r="H99" s="52"/>
      <c r="I99" s="245" t="s">
        <v>119</v>
      </c>
      <c r="J99" s="214">
        <f t="shared" si="25"/>
        <v>0</v>
      </c>
      <c r="K99" s="215">
        <f t="shared" si="26"/>
        <v>0</v>
      </c>
      <c r="L99" s="216">
        <f t="shared" si="29"/>
        <v>0</v>
      </c>
      <c r="N99" s="210" t="s">
        <v>49</v>
      </c>
    </row>
    <row r="100" spans="2:14" x14ac:dyDescent="0.3">
      <c r="B100" s="569" t="s">
        <v>442</v>
      </c>
      <c r="C100" s="123" t="str">
        <f>JenotkaMěny</f>
        <v>EURO</v>
      </c>
      <c r="D100" s="569"/>
      <c r="E100" s="501"/>
      <c r="F100" s="535">
        <v>0</v>
      </c>
      <c r="G100" s="503" t="s">
        <v>457</v>
      </c>
      <c r="H100" s="52"/>
      <c r="I100" s="220" t="s">
        <v>119</v>
      </c>
      <c r="J100" s="214">
        <f>IF($J$4='1.Initial Parameters'!$D$3,F100,F100/(1+$K$3))</f>
        <v>0</v>
      </c>
      <c r="K100" s="215">
        <f>IF($K$4='1.Initial Parameters'!$D$3,F100,F100*(1+$K$3))</f>
        <v>0</v>
      </c>
      <c r="L100" s="216">
        <f t="shared" ref="L100" si="33">IF($L$4=$J$4,J100,K100)</f>
        <v>0</v>
      </c>
      <c r="N100" s="210" t="s">
        <v>30</v>
      </c>
    </row>
    <row r="101" spans="2:14" x14ac:dyDescent="0.3">
      <c r="B101" s="569" t="s">
        <v>444</v>
      </c>
      <c r="C101" s="499" t="str">
        <f>'1.Initial Parameters'!$D$35</f>
        <v>Hour</v>
      </c>
      <c r="D101" s="500">
        <v>2</v>
      </c>
      <c r="E101" s="501">
        <f>VLOOKUP(D101,'1.Initial Parameters'!$D$44:$E$46,2,FALSE)</f>
        <v>657</v>
      </c>
      <c r="F101" s="502">
        <v>0</v>
      </c>
      <c r="G101" s="503"/>
      <c r="H101" s="52"/>
      <c r="I101" s="220" t="s">
        <v>120</v>
      </c>
      <c r="J101" s="214">
        <f t="shared" si="25"/>
        <v>0</v>
      </c>
      <c r="K101" s="215">
        <f t="shared" si="26"/>
        <v>0</v>
      </c>
      <c r="L101" s="216">
        <f t="shared" si="29"/>
        <v>0</v>
      </c>
      <c r="N101" s="210" t="s">
        <v>49</v>
      </c>
    </row>
    <row r="102" spans="2:14" x14ac:dyDescent="0.3">
      <c r="B102" s="569" t="s">
        <v>444</v>
      </c>
      <c r="C102" s="123" t="str">
        <f>JenotkaMěny</f>
        <v>EURO</v>
      </c>
      <c r="D102" s="569"/>
      <c r="E102" s="501"/>
      <c r="F102" s="535">
        <v>0</v>
      </c>
      <c r="G102" s="503" t="s">
        <v>457</v>
      </c>
      <c r="H102" s="52"/>
      <c r="I102" s="220" t="s">
        <v>120</v>
      </c>
      <c r="J102" s="214">
        <f>IF($J$4='1.Initial Parameters'!$D$3,F102,F102/(1+$K$3))</f>
        <v>0</v>
      </c>
      <c r="K102" s="215">
        <f>IF($K$4='1.Initial Parameters'!$D$3,F102,F102*(1+$K$3))</f>
        <v>0</v>
      </c>
      <c r="L102" s="216">
        <f t="shared" ref="L102" si="34">IF($L$4=$J$4,J102,K102)</f>
        <v>0</v>
      </c>
      <c r="N102" s="210" t="s">
        <v>30</v>
      </c>
    </row>
    <row r="103" spans="2:14" x14ac:dyDescent="0.3">
      <c r="B103" s="569" t="s">
        <v>757</v>
      </c>
      <c r="C103" s="499" t="str">
        <f>'1.Initial Parameters'!$D$35</f>
        <v>Hour</v>
      </c>
      <c r="D103" s="500">
        <v>2</v>
      </c>
      <c r="E103" s="501">
        <f>VLOOKUP(D103,'1.Initial Parameters'!$D$44:$E$46,2,FALSE)</f>
        <v>657</v>
      </c>
      <c r="F103" s="502">
        <v>0</v>
      </c>
      <c r="G103" s="503"/>
      <c r="H103" s="52"/>
      <c r="I103" s="220" t="s">
        <v>121</v>
      </c>
      <c r="J103" s="214">
        <f t="shared" si="25"/>
        <v>0</v>
      </c>
      <c r="K103" s="215">
        <f t="shared" si="26"/>
        <v>0</v>
      </c>
      <c r="L103" s="216">
        <f t="shared" si="29"/>
        <v>0</v>
      </c>
      <c r="N103" s="210" t="s">
        <v>49</v>
      </c>
    </row>
    <row r="104" spans="2:14" x14ac:dyDescent="0.3">
      <c r="B104" s="569" t="s">
        <v>757</v>
      </c>
      <c r="C104" s="123" t="str">
        <f>JenotkaMěny</f>
        <v>EURO</v>
      </c>
      <c r="D104" s="569"/>
      <c r="E104" s="501"/>
      <c r="F104" s="535">
        <v>0</v>
      </c>
      <c r="G104" s="503" t="s">
        <v>457</v>
      </c>
      <c r="H104" s="52"/>
      <c r="I104" s="220" t="s">
        <v>121</v>
      </c>
      <c r="J104" s="214">
        <f>IF($J$4='1.Initial Parameters'!$D$3,F104,F104/(1+$K$3))</f>
        <v>0</v>
      </c>
      <c r="K104" s="215">
        <f>IF($K$4='1.Initial Parameters'!$D$3,F104,F104*(1+$K$3))</f>
        <v>0</v>
      </c>
      <c r="L104" s="216">
        <f t="shared" ref="L104" si="35">IF($L$4=$J$4,J104,K104)</f>
        <v>0</v>
      </c>
      <c r="N104" s="210" t="s">
        <v>30</v>
      </c>
    </row>
    <row r="105" spans="2:14" ht="27.6" x14ac:dyDescent="0.3">
      <c r="B105" s="569" t="s">
        <v>446</v>
      </c>
      <c r="C105" s="499" t="str">
        <f>'1.Initial Parameters'!$D$35</f>
        <v>Hour</v>
      </c>
      <c r="D105" s="500">
        <v>2</v>
      </c>
      <c r="E105" s="501">
        <f>VLOOKUP(D105,'1.Initial Parameters'!$D$44:$E$46,2,FALSE)</f>
        <v>657</v>
      </c>
      <c r="F105" s="502">
        <v>0</v>
      </c>
      <c r="G105" s="503"/>
      <c r="H105" s="52"/>
      <c r="I105" s="220" t="s">
        <v>122</v>
      </c>
      <c r="J105" s="214">
        <f t="shared" si="25"/>
        <v>0</v>
      </c>
      <c r="K105" s="215">
        <f t="shared" si="26"/>
        <v>0</v>
      </c>
      <c r="L105" s="216">
        <f t="shared" si="29"/>
        <v>0</v>
      </c>
      <c r="N105" s="210" t="s">
        <v>49</v>
      </c>
    </row>
    <row r="106" spans="2:14" ht="27.6" x14ac:dyDescent="0.3">
      <c r="B106" s="569" t="s">
        <v>446</v>
      </c>
      <c r="C106" s="123" t="str">
        <f>JenotkaMěny</f>
        <v>EURO</v>
      </c>
      <c r="D106" s="569"/>
      <c r="E106" s="501"/>
      <c r="F106" s="535">
        <v>0</v>
      </c>
      <c r="G106" s="503" t="s">
        <v>457</v>
      </c>
      <c r="H106" s="52"/>
      <c r="I106" s="220" t="s">
        <v>122</v>
      </c>
      <c r="J106" s="214">
        <f>IF($J$4='1.Initial Parameters'!$D$3,F106,F106/(1+$K$3))</f>
        <v>0</v>
      </c>
      <c r="K106" s="215">
        <f>IF($K$4='1.Initial Parameters'!$D$3,F106,F106*(1+$K$3))</f>
        <v>0</v>
      </c>
      <c r="L106" s="216">
        <f t="shared" ref="L106" si="36">IF($L$4=$J$4,J106,K106)</f>
        <v>0</v>
      </c>
      <c r="N106" s="210" t="s">
        <v>30</v>
      </c>
    </row>
    <row r="107" spans="2:14" x14ac:dyDescent="0.3">
      <c r="B107" s="569" t="s">
        <v>447</v>
      </c>
      <c r="C107" s="499" t="str">
        <f>'1.Initial Parameters'!$D$35</f>
        <v>Hour</v>
      </c>
      <c r="D107" s="500">
        <v>2</v>
      </c>
      <c r="E107" s="501">
        <f>VLOOKUP(D107,'1.Initial Parameters'!$D$44:$E$46,2,FALSE)</f>
        <v>657</v>
      </c>
      <c r="F107" s="502">
        <v>0</v>
      </c>
      <c r="G107" s="503"/>
      <c r="H107" s="52"/>
      <c r="I107" s="220" t="s">
        <v>123</v>
      </c>
      <c r="J107" s="214">
        <f t="shared" si="25"/>
        <v>0</v>
      </c>
      <c r="K107" s="215">
        <f t="shared" si="26"/>
        <v>0</v>
      </c>
      <c r="L107" s="216">
        <f t="shared" si="29"/>
        <v>0</v>
      </c>
      <c r="N107" s="210" t="s">
        <v>49</v>
      </c>
    </row>
    <row r="108" spans="2:14" x14ac:dyDescent="0.3">
      <c r="B108" s="569" t="s">
        <v>447</v>
      </c>
      <c r="C108" s="123" t="str">
        <f>JenotkaMěny</f>
        <v>EURO</v>
      </c>
      <c r="D108" s="569"/>
      <c r="E108" s="501"/>
      <c r="F108" s="535">
        <v>0</v>
      </c>
      <c r="G108" s="503" t="s">
        <v>457</v>
      </c>
      <c r="H108" s="52"/>
      <c r="I108" s="220" t="s">
        <v>123</v>
      </c>
      <c r="J108" s="214">
        <f>IF($J$4='1.Initial Parameters'!$D$3,F108,F108/(1+$K$3))</f>
        <v>0</v>
      </c>
      <c r="K108" s="215">
        <f>IF($K$4='1.Initial Parameters'!$D$3,F108,F108*(1+$K$3))</f>
        <v>0</v>
      </c>
      <c r="L108" s="216">
        <f t="shared" ref="L108" si="37">IF($L$4=$J$4,J108,K108)</f>
        <v>0</v>
      </c>
      <c r="N108" s="210" t="s">
        <v>30</v>
      </c>
    </row>
    <row r="109" spans="2:14" x14ac:dyDescent="0.3">
      <c r="B109" s="569" t="s">
        <v>448</v>
      </c>
      <c r="C109" s="499" t="str">
        <f>'1.Initial Parameters'!$D$35</f>
        <v>Hour</v>
      </c>
      <c r="D109" s="500">
        <v>2</v>
      </c>
      <c r="E109" s="501">
        <f>VLOOKUP(D109,'1.Initial Parameters'!$D$44:$E$46,2,FALSE)</f>
        <v>657</v>
      </c>
      <c r="F109" s="502">
        <v>0</v>
      </c>
      <c r="G109" s="503"/>
      <c r="H109" s="52"/>
      <c r="I109" s="220" t="s">
        <v>124</v>
      </c>
      <c r="J109" s="214">
        <f t="shared" si="25"/>
        <v>0</v>
      </c>
      <c r="K109" s="215">
        <f t="shared" si="26"/>
        <v>0</v>
      </c>
      <c r="L109" s="216">
        <f t="shared" si="29"/>
        <v>0</v>
      </c>
      <c r="N109" s="210" t="s">
        <v>49</v>
      </c>
    </row>
    <row r="110" spans="2:14" x14ac:dyDescent="0.3">
      <c r="B110" s="569" t="s">
        <v>448</v>
      </c>
      <c r="C110" s="123" t="str">
        <f>JenotkaMěny</f>
        <v>EURO</v>
      </c>
      <c r="D110" s="569"/>
      <c r="E110" s="501"/>
      <c r="F110" s="535">
        <v>0</v>
      </c>
      <c r="G110" s="503" t="s">
        <v>457</v>
      </c>
      <c r="H110" s="52"/>
      <c r="I110" s="220" t="s">
        <v>124</v>
      </c>
      <c r="J110" s="214">
        <f>IF($J$4='1.Initial Parameters'!$D$3,F110,F110/(1+$K$3))</f>
        <v>0</v>
      </c>
      <c r="K110" s="215">
        <f>IF($K$4='1.Initial Parameters'!$D$3,F110,F110*(1+$K$3))</f>
        <v>0</v>
      </c>
      <c r="L110" s="216">
        <f t="shared" ref="L110" si="38">IF($L$4=$J$4,J110,K110)</f>
        <v>0</v>
      </c>
      <c r="N110" s="210" t="s">
        <v>30</v>
      </c>
    </row>
    <row r="111" spans="2:14" x14ac:dyDescent="0.3">
      <c r="B111" s="569" t="s">
        <v>449</v>
      </c>
      <c r="C111" s="499" t="str">
        <f>'1.Initial Parameters'!$D$35</f>
        <v>Hour</v>
      </c>
      <c r="D111" s="500">
        <v>2</v>
      </c>
      <c r="E111" s="501">
        <f>VLOOKUP(D111,'1.Initial Parameters'!$D$44:$E$46,2,FALSE)</f>
        <v>657</v>
      </c>
      <c r="F111" s="502">
        <v>0</v>
      </c>
      <c r="G111" s="503"/>
      <c r="H111" s="52"/>
      <c r="I111" s="220" t="s">
        <v>125</v>
      </c>
      <c r="J111" s="214">
        <f t="shared" si="25"/>
        <v>0</v>
      </c>
      <c r="K111" s="215">
        <f t="shared" si="26"/>
        <v>0</v>
      </c>
      <c r="L111" s="216">
        <f t="shared" si="29"/>
        <v>0</v>
      </c>
      <c r="N111" s="210" t="s">
        <v>49</v>
      </c>
    </row>
    <row r="112" spans="2:14" x14ac:dyDescent="0.3">
      <c r="B112" s="569" t="s">
        <v>449</v>
      </c>
      <c r="C112" s="123" t="str">
        <f>JenotkaMěny</f>
        <v>EURO</v>
      </c>
      <c r="D112" s="569"/>
      <c r="E112" s="501"/>
      <c r="F112" s="535">
        <v>0</v>
      </c>
      <c r="G112" s="503" t="s">
        <v>457</v>
      </c>
      <c r="H112" s="52"/>
      <c r="I112" s="220" t="s">
        <v>125</v>
      </c>
      <c r="J112" s="214">
        <f>IF($J$4='1.Initial Parameters'!$D$3,F112,F112/(1+$K$3))</f>
        <v>0</v>
      </c>
      <c r="K112" s="215">
        <f>IF($K$4='1.Initial Parameters'!$D$3,F112,F112*(1+$K$3))</f>
        <v>0</v>
      </c>
      <c r="L112" s="216">
        <f t="shared" ref="L112" si="39">IF($L$4=$J$4,J112,K112)</f>
        <v>0</v>
      </c>
      <c r="N112" s="210" t="s">
        <v>30</v>
      </c>
    </row>
    <row r="113" spans="2:14" x14ac:dyDescent="0.3">
      <c r="B113" s="569" t="s">
        <v>450</v>
      </c>
      <c r="C113" s="499" t="str">
        <f>'1.Initial Parameters'!$D$35</f>
        <v>Hour</v>
      </c>
      <c r="D113" s="500">
        <v>2</v>
      </c>
      <c r="E113" s="501">
        <f>VLOOKUP(D113,'1.Initial Parameters'!$D$44:$E$46,2,FALSE)</f>
        <v>657</v>
      </c>
      <c r="F113" s="502">
        <v>0</v>
      </c>
      <c r="G113" s="503"/>
      <c r="H113" s="52"/>
      <c r="I113" s="220" t="s">
        <v>126</v>
      </c>
      <c r="J113" s="214">
        <f t="shared" si="25"/>
        <v>0</v>
      </c>
      <c r="K113" s="215">
        <f t="shared" si="26"/>
        <v>0</v>
      </c>
      <c r="L113" s="216">
        <f t="shared" si="29"/>
        <v>0</v>
      </c>
      <c r="N113" s="210" t="s">
        <v>49</v>
      </c>
    </row>
    <row r="114" spans="2:14" x14ac:dyDescent="0.3">
      <c r="B114" s="569" t="s">
        <v>450</v>
      </c>
      <c r="C114" s="123" t="str">
        <f>JenotkaMěny</f>
        <v>EURO</v>
      </c>
      <c r="D114" s="569"/>
      <c r="E114" s="501"/>
      <c r="F114" s="535">
        <v>0</v>
      </c>
      <c r="G114" s="503" t="s">
        <v>457</v>
      </c>
      <c r="H114" s="52"/>
      <c r="I114" s="220" t="s">
        <v>126</v>
      </c>
      <c r="J114" s="214">
        <f>IF($J$4='1.Initial Parameters'!$D$3,F114,F114/(1+$K$3))</f>
        <v>0</v>
      </c>
      <c r="K114" s="215">
        <f>IF($K$4='1.Initial Parameters'!$D$3,F114,F114*(1+$K$3))</f>
        <v>0</v>
      </c>
      <c r="L114" s="216">
        <f t="shared" ref="L114" si="40">IF($L$4=$J$4,J114,K114)</f>
        <v>0</v>
      </c>
      <c r="N114" s="210" t="s">
        <v>30</v>
      </c>
    </row>
    <row r="115" spans="2:14" x14ac:dyDescent="0.3">
      <c r="B115" s="569" t="s">
        <v>451</v>
      </c>
      <c r="C115" s="499" t="str">
        <f>'1.Initial Parameters'!$D$35</f>
        <v>Hour</v>
      </c>
      <c r="D115" s="500">
        <v>2</v>
      </c>
      <c r="E115" s="501">
        <f>VLOOKUP(D115,'1.Initial Parameters'!$D$44:$E$46,2,FALSE)</f>
        <v>657</v>
      </c>
      <c r="F115" s="502">
        <v>0</v>
      </c>
      <c r="G115" s="503"/>
      <c r="H115" s="52"/>
      <c r="I115" s="220" t="s">
        <v>127</v>
      </c>
      <c r="J115" s="214">
        <f t="shared" si="25"/>
        <v>0</v>
      </c>
      <c r="K115" s="215">
        <f t="shared" si="26"/>
        <v>0</v>
      </c>
      <c r="L115" s="216">
        <f t="shared" si="29"/>
        <v>0</v>
      </c>
      <c r="N115" s="210" t="s">
        <v>49</v>
      </c>
    </row>
    <row r="116" spans="2:14" x14ac:dyDescent="0.3">
      <c r="B116" s="569" t="s">
        <v>452</v>
      </c>
      <c r="C116" s="123" t="str">
        <f>JenotkaMěny</f>
        <v>EURO</v>
      </c>
      <c r="D116" s="569"/>
      <c r="E116" s="507"/>
      <c r="F116" s="535">
        <v>0</v>
      </c>
      <c r="G116" s="503" t="s">
        <v>457</v>
      </c>
      <c r="H116" s="52"/>
      <c r="I116" s="220" t="s">
        <v>127</v>
      </c>
      <c r="J116" s="214">
        <f>IF($J$4='1.Initial Parameters'!$D$3,F116,F116/(1+$K$3))</f>
        <v>0</v>
      </c>
      <c r="K116" s="215">
        <f>IF($K$4='1.Initial Parameters'!$D$3,F116,F116*(1+$K$3))</f>
        <v>0</v>
      </c>
      <c r="L116" s="216">
        <f t="shared" si="29"/>
        <v>0</v>
      </c>
      <c r="N116" s="210" t="s">
        <v>30</v>
      </c>
    </row>
    <row r="117" spans="2:14" x14ac:dyDescent="0.3">
      <c r="B117" s="569" t="s">
        <v>453</v>
      </c>
      <c r="C117" s="499" t="str">
        <f>'1.Initial Parameters'!$D$35</f>
        <v>Hour</v>
      </c>
      <c r="D117" s="500">
        <v>2</v>
      </c>
      <c r="E117" s="501">
        <f>VLOOKUP(D117,'1.Initial Parameters'!$D$44:$E$46,2,FALSE)</f>
        <v>657</v>
      </c>
      <c r="F117" s="502">
        <v>0</v>
      </c>
      <c r="G117" s="503"/>
      <c r="H117" s="52"/>
      <c r="I117" s="220" t="s">
        <v>127</v>
      </c>
      <c r="J117" s="214">
        <f t="shared" ref="J117" si="41">E117*F117</f>
        <v>0</v>
      </c>
      <c r="K117" s="215">
        <f t="shared" ref="K117" si="42">E117*F117</f>
        <v>0</v>
      </c>
      <c r="L117" s="216">
        <f t="shared" ref="L117" si="43">IF($L$4=$J$4,J117,K117)</f>
        <v>0</v>
      </c>
      <c r="N117" s="210" t="s">
        <v>49</v>
      </c>
    </row>
    <row r="118" spans="2:14" ht="15" thickBot="1" x14ac:dyDescent="0.35">
      <c r="B118" s="569" t="s">
        <v>453</v>
      </c>
      <c r="C118" s="123" t="str">
        <f>JenotkaMěny</f>
        <v>EURO</v>
      </c>
      <c r="D118" s="569"/>
      <c r="E118" s="569"/>
      <c r="F118" s="535">
        <v>0</v>
      </c>
      <c r="G118" s="503" t="s">
        <v>758</v>
      </c>
      <c r="H118" s="52"/>
      <c r="I118" s="220" t="s">
        <v>128</v>
      </c>
      <c r="J118" s="214">
        <f>IF($J$4='1.Initial Parameters'!$D$3,F118,F118/(1+$K$3))</f>
        <v>0</v>
      </c>
      <c r="K118" s="215">
        <f>IF($K$4='1.Initial Parameters'!$D$3,F118,F118*(1+$K$3))</f>
        <v>0</v>
      </c>
      <c r="L118" s="216">
        <f t="shared" si="29"/>
        <v>0</v>
      </c>
      <c r="N118" s="210" t="s">
        <v>30</v>
      </c>
    </row>
    <row r="119" spans="2:14" ht="15.6" thickTop="1" thickBot="1" x14ac:dyDescent="0.35">
      <c r="B119" s="588" t="s">
        <v>454</v>
      </c>
      <c r="C119" s="687" t="str">
        <f>JenotkaMěny</f>
        <v>EURO</v>
      </c>
      <c r="D119" s="589"/>
      <c r="E119" s="589"/>
      <c r="F119" s="312">
        <f>IF($J$14='1.Initial Parameters'!$D$3,'3. Input Data Cloud'!J119,'3. Input Data Cloud'!K119)</f>
        <v>0</v>
      </c>
      <c r="G119" s="589" t="s">
        <v>522</v>
      </c>
      <c r="H119" s="52"/>
      <c r="I119" s="202"/>
      <c r="J119" s="696">
        <f>SUM(J89:J118)</f>
        <v>0</v>
      </c>
      <c r="K119" s="697">
        <f>SUM(K89:K118)</f>
        <v>0</v>
      </c>
      <c r="L119" s="698">
        <f>SUM(L89:L118)</f>
        <v>0</v>
      </c>
      <c r="N119" s="210" t="s">
        <v>30</v>
      </c>
    </row>
    <row r="120" spans="2:14" ht="28.2" thickTop="1" x14ac:dyDescent="0.3">
      <c r="B120" s="463" t="s">
        <v>436</v>
      </c>
      <c r="C120" s="134" t="s">
        <v>260</v>
      </c>
      <c r="D120" s="462" t="s">
        <v>759</v>
      </c>
      <c r="E120" s="137"/>
      <c r="F120" s="135" t="s">
        <v>456</v>
      </c>
      <c r="G120" s="559" t="s">
        <v>251</v>
      </c>
      <c r="H120" s="52"/>
      <c r="I120" s="202"/>
      <c r="N120" s="210" t="s">
        <v>30</v>
      </c>
    </row>
    <row r="121" spans="2:14" ht="24" customHeight="1" thickBot="1" x14ac:dyDescent="0.35">
      <c r="B121" s="584" t="s">
        <v>433</v>
      </c>
      <c r="C121" s="585"/>
      <c r="D121" s="294" t="str">
        <f>'1.Initial Parameters'!$D$11</f>
        <v>YES</v>
      </c>
      <c r="E121" s="585"/>
      <c r="F121" s="590"/>
      <c r="G121" s="586" t="s">
        <v>435</v>
      </c>
      <c r="H121" s="52"/>
      <c r="I121" s="202"/>
      <c r="N121" s="210" t="s">
        <v>30</v>
      </c>
    </row>
    <row r="122" spans="2:14" ht="15" thickTop="1" x14ac:dyDescent="0.3">
      <c r="B122" s="688"/>
      <c r="C122" s="688"/>
      <c r="D122" s="688"/>
      <c r="E122" s="688"/>
      <c r="F122" s="689"/>
      <c r="N122" s="210" t="s">
        <v>30</v>
      </c>
    </row>
    <row r="123" spans="2:14" x14ac:dyDescent="0.3">
      <c r="B123" s="593" t="s">
        <v>460</v>
      </c>
      <c r="C123" s="594" t="s">
        <v>260</v>
      </c>
      <c r="D123" s="595" t="s">
        <v>88</v>
      </c>
      <c r="E123" s="596"/>
      <c r="F123" s="135" t="s">
        <v>456</v>
      </c>
      <c r="G123" s="593" t="s">
        <v>251</v>
      </c>
      <c r="H123" s="52"/>
      <c r="I123" s="202"/>
      <c r="J123" s="211" t="s">
        <v>16</v>
      </c>
      <c r="K123" s="212" t="s">
        <v>17</v>
      </c>
      <c r="L123" s="213" t="str">
        <f>'4.TCO Calculation &amp; Comparsion'!$J$3</f>
        <v>VAT included</v>
      </c>
      <c r="N123" s="210" t="s">
        <v>30</v>
      </c>
    </row>
    <row r="124" spans="2:14" x14ac:dyDescent="0.3">
      <c r="B124" s="607" t="s">
        <v>461</v>
      </c>
      <c r="C124" s="499" t="str">
        <f>'1.Initial Parameters'!$D$35</f>
        <v>Hour</v>
      </c>
      <c r="D124" s="500">
        <v>1</v>
      </c>
      <c r="E124" s="501">
        <f>VLOOKUP(D124,'1.Initial Parameters'!$D$44:$E$46,2,FALSE)</f>
        <v>654</v>
      </c>
      <c r="F124" s="568">
        <v>0</v>
      </c>
      <c r="G124" s="503"/>
      <c r="H124" s="52"/>
      <c r="I124" s="220" t="s">
        <v>129</v>
      </c>
      <c r="J124" s="214">
        <f>E124*F124</f>
        <v>0</v>
      </c>
      <c r="K124" s="215">
        <f>E124*F124</f>
        <v>0</v>
      </c>
      <c r="L124" s="216">
        <f t="shared" ref="L124:L125" si="44">IF($L$4=$J$4,J124,K124)</f>
        <v>0</v>
      </c>
      <c r="N124" s="210" t="s">
        <v>130</v>
      </c>
    </row>
    <row r="125" spans="2:14" x14ac:dyDescent="0.3">
      <c r="B125" s="607" t="s">
        <v>461</v>
      </c>
      <c r="C125" s="123" t="str">
        <f>JenotkaMěny</f>
        <v>EURO</v>
      </c>
      <c r="D125" s="569"/>
      <c r="E125" s="501"/>
      <c r="F125" s="535">
        <v>0</v>
      </c>
      <c r="G125" s="503"/>
      <c r="H125" s="52"/>
      <c r="I125" s="220" t="s">
        <v>129</v>
      </c>
      <c r="J125" s="214">
        <f>IF($J$4='1.Initial Parameters'!$D$3,F125,F125/(1+$K$3))</f>
        <v>0</v>
      </c>
      <c r="K125" s="215">
        <f>IF($K$4='1.Initial Parameters'!$D$3,F125,F125*(1+$K$3))</f>
        <v>0</v>
      </c>
      <c r="L125" s="216">
        <f t="shared" si="44"/>
        <v>0</v>
      </c>
      <c r="N125" s="210" t="s">
        <v>30</v>
      </c>
    </row>
    <row r="126" spans="2:14" x14ac:dyDescent="0.3">
      <c r="B126" s="607" t="s">
        <v>462</v>
      </c>
      <c r="C126" s="499" t="str">
        <f>'1.Initial Parameters'!$D$35</f>
        <v>Hour</v>
      </c>
      <c r="D126" s="500">
        <v>2</v>
      </c>
      <c r="E126" s="501">
        <f>VLOOKUP(D126,'1.Initial Parameters'!$D$44:$E$46,2,FALSE)</f>
        <v>657</v>
      </c>
      <c r="F126" s="568">
        <v>0</v>
      </c>
      <c r="G126" s="503"/>
      <c r="H126" s="52"/>
      <c r="I126" s="220" t="s">
        <v>131</v>
      </c>
      <c r="J126" s="214">
        <f>E126*F126</f>
        <v>0</v>
      </c>
      <c r="K126" s="215">
        <f>E126*F126</f>
        <v>0</v>
      </c>
      <c r="L126" s="216">
        <f t="shared" ref="L126:L127" si="45">IF($L$4=$J$4,J126,K126)</f>
        <v>0</v>
      </c>
      <c r="N126" s="210" t="s">
        <v>130</v>
      </c>
    </row>
    <row r="127" spans="2:14" x14ac:dyDescent="0.3">
      <c r="B127" s="607" t="s">
        <v>462</v>
      </c>
      <c r="C127" s="123" t="str">
        <f>JenotkaMěny</f>
        <v>EURO</v>
      </c>
      <c r="D127" s="569"/>
      <c r="E127" s="501"/>
      <c r="F127" s="535">
        <v>0</v>
      </c>
      <c r="G127" s="503"/>
      <c r="H127" s="52"/>
      <c r="I127" s="220" t="s">
        <v>131</v>
      </c>
      <c r="J127" s="214">
        <f>IF($J$4='1.Initial Parameters'!$D$3,F127,F127/(1+$K$3))</f>
        <v>0</v>
      </c>
      <c r="K127" s="215">
        <f>IF($K$4='1.Initial Parameters'!$D$3,F127,F127*(1+$K$3))</f>
        <v>0</v>
      </c>
      <c r="L127" s="216">
        <f t="shared" si="45"/>
        <v>0</v>
      </c>
      <c r="N127" s="210" t="s">
        <v>30</v>
      </c>
    </row>
    <row r="128" spans="2:14" x14ac:dyDescent="0.3">
      <c r="B128" s="607" t="s">
        <v>645</v>
      </c>
      <c r="C128" s="499" t="str">
        <f>'1.Initial Parameters'!$D$35</f>
        <v>Hour</v>
      </c>
      <c r="D128" s="500">
        <v>3</v>
      </c>
      <c r="E128" s="501">
        <f>VLOOKUP(D128,'1.Initial Parameters'!$D$44:$E$46,2,FALSE)</f>
        <v>709</v>
      </c>
      <c r="F128" s="568">
        <v>0</v>
      </c>
      <c r="G128" s="503"/>
      <c r="H128" s="52"/>
      <c r="I128" s="220" t="s">
        <v>132</v>
      </c>
      <c r="J128" s="214">
        <f>E128*F128</f>
        <v>0</v>
      </c>
      <c r="K128" s="215">
        <f>E128*F128</f>
        <v>0</v>
      </c>
      <c r="L128" s="216">
        <f t="shared" ref="L128:L129" si="46">IF($L$4=$J$4,J128,K128)</f>
        <v>0</v>
      </c>
      <c r="N128" s="210" t="s">
        <v>130</v>
      </c>
    </row>
    <row r="129" spans="2:14" x14ac:dyDescent="0.3">
      <c r="B129" s="607" t="s">
        <v>645</v>
      </c>
      <c r="C129" s="123" t="str">
        <f>JenotkaMěny</f>
        <v>EURO</v>
      </c>
      <c r="D129" s="569"/>
      <c r="E129" s="501"/>
      <c r="F129" s="535">
        <v>0</v>
      </c>
      <c r="G129" s="503"/>
      <c r="H129" s="52"/>
      <c r="I129" s="220" t="s">
        <v>132</v>
      </c>
      <c r="J129" s="214">
        <f>IF($J$4='1.Initial Parameters'!$D$3,F129,F129/(1+$K$3))</f>
        <v>0</v>
      </c>
      <c r="K129" s="215">
        <f>IF($K$4='1.Initial Parameters'!$D$3,F129,F129*(1+$K$3))</f>
        <v>0</v>
      </c>
      <c r="L129" s="216">
        <f t="shared" si="46"/>
        <v>0</v>
      </c>
      <c r="N129" s="210" t="s">
        <v>30</v>
      </c>
    </row>
    <row r="130" spans="2:14" x14ac:dyDescent="0.3">
      <c r="B130" s="607" t="s">
        <v>465</v>
      </c>
      <c r="C130" s="499" t="str">
        <f>'1.Initial Parameters'!$D$35</f>
        <v>Hour</v>
      </c>
      <c r="D130" s="500">
        <v>2</v>
      </c>
      <c r="E130" s="501">
        <f>VLOOKUP(D130,'1.Initial Parameters'!$D$44:$E$46,2,FALSE)</f>
        <v>657</v>
      </c>
      <c r="F130" s="568">
        <v>0</v>
      </c>
      <c r="G130" s="503"/>
      <c r="H130" s="52"/>
      <c r="I130" s="220" t="s">
        <v>133</v>
      </c>
      <c r="J130" s="214">
        <f>E130*F130</f>
        <v>0</v>
      </c>
      <c r="K130" s="215">
        <f>E130*F130</f>
        <v>0</v>
      </c>
      <c r="L130" s="216">
        <f t="shared" ref="L130:L131" si="47">IF($L$4=$J$4,J130,K130)</f>
        <v>0</v>
      </c>
      <c r="N130" s="210" t="s">
        <v>130</v>
      </c>
    </row>
    <row r="131" spans="2:14" x14ac:dyDescent="0.3">
      <c r="B131" s="607" t="s">
        <v>465</v>
      </c>
      <c r="C131" s="123" t="str">
        <f>JenotkaMěny</f>
        <v>EURO</v>
      </c>
      <c r="D131" s="569"/>
      <c r="E131" s="501"/>
      <c r="F131" s="535">
        <v>0</v>
      </c>
      <c r="G131" s="503"/>
      <c r="H131" s="52"/>
      <c r="I131" s="220" t="s">
        <v>133</v>
      </c>
      <c r="J131" s="214">
        <f>IF($J$4='1.Initial Parameters'!$D$3,F131,F131/(1+$K$3))</f>
        <v>0</v>
      </c>
      <c r="K131" s="215">
        <f>IF($K$4='1.Initial Parameters'!$D$3,F131,F131*(1+$K$3))</f>
        <v>0</v>
      </c>
      <c r="L131" s="216">
        <f t="shared" si="47"/>
        <v>0</v>
      </c>
      <c r="N131" s="210" t="s">
        <v>30</v>
      </c>
    </row>
    <row r="132" spans="2:14" ht="19.2" x14ac:dyDescent="0.3">
      <c r="B132" s="110"/>
      <c r="C132" s="600"/>
      <c r="D132" s="601" t="s">
        <v>760</v>
      </c>
      <c r="E132" s="602"/>
      <c r="F132" s="603"/>
      <c r="G132" s="112"/>
      <c r="H132" s="52"/>
      <c r="I132" s="202"/>
      <c r="N132" s="210" t="s">
        <v>30</v>
      </c>
    </row>
    <row r="133" spans="2:14" ht="24" customHeight="1" thickBot="1" x14ac:dyDescent="0.35">
      <c r="B133" s="584" t="s">
        <v>433</v>
      </c>
      <c r="C133" s="604"/>
      <c r="D133" s="294" t="str">
        <f>'1.Initial Parameters'!$D$14</f>
        <v>NO</v>
      </c>
      <c r="E133" s="489"/>
      <c r="F133" s="605"/>
      <c r="G133" s="586" t="s">
        <v>467</v>
      </c>
      <c r="H133" s="52"/>
      <c r="I133" s="202"/>
      <c r="N133" s="210" t="s">
        <v>30</v>
      </c>
    </row>
    <row r="134" spans="2:14" ht="15" thickTop="1" x14ac:dyDescent="0.3">
      <c r="B134" s="688"/>
      <c r="C134" s="688"/>
      <c r="D134" s="688"/>
      <c r="E134" s="688"/>
      <c r="F134" s="689"/>
      <c r="N134" s="210" t="s">
        <v>30</v>
      </c>
    </row>
    <row r="135" spans="2:14" x14ac:dyDescent="0.3">
      <c r="B135" s="463" t="s">
        <v>468</v>
      </c>
      <c r="C135" s="594" t="s">
        <v>260</v>
      </c>
      <c r="D135" s="595" t="s">
        <v>88</v>
      </c>
      <c r="E135" s="596"/>
      <c r="F135" s="135" t="s">
        <v>456</v>
      </c>
      <c r="G135" s="593" t="s">
        <v>251</v>
      </c>
      <c r="H135" s="52"/>
      <c r="I135" s="202"/>
      <c r="J135" s="211" t="s">
        <v>16</v>
      </c>
      <c r="K135" s="212" t="s">
        <v>17</v>
      </c>
      <c r="L135" s="213" t="str">
        <f>'4.TCO Calculation &amp; Comparsion'!$J$3</f>
        <v>VAT included</v>
      </c>
      <c r="N135" s="210" t="s">
        <v>30</v>
      </c>
    </row>
    <row r="136" spans="2:14" x14ac:dyDescent="0.3">
      <c r="B136" s="607" t="s">
        <v>469</v>
      </c>
      <c r="C136" s="499" t="str">
        <f>'1.Initial Parameters'!$D$35</f>
        <v>Hour</v>
      </c>
      <c r="D136" s="500">
        <v>1</v>
      </c>
      <c r="E136" s="501">
        <f>VLOOKUP(D136,'1.Initial Parameters'!$D$44:$E$46,2,FALSE)</f>
        <v>654</v>
      </c>
      <c r="F136" s="568">
        <v>0</v>
      </c>
      <c r="G136" s="503"/>
      <c r="H136" s="52"/>
      <c r="I136" s="220" t="s">
        <v>134</v>
      </c>
      <c r="J136" s="214">
        <f>E136*F136</f>
        <v>0</v>
      </c>
      <c r="K136" s="215">
        <f>E136*F136</f>
        <v>0</v>
      </c>
      <c r="L136" s="216">
        <f t="shared" ref="L136:L137" si="48">IF($L$4=$J$4,J136,K136)</f>
        <v>0</v>
      </c>
      <c r="N136" s="210" t="s">
        <v>130</v>
      </c>
    </row>
    <row r="137" spans="2:14" x14ac:dyDescent="0.3">
      <c r="B137" s="607" t="s">
        <v>469</v>
      </c>
      <c r="C137" s="123" t="str">
        <f>JenotkaMěny</f>
        <v>EURO</v>
      </c>
      <c r="D137" s="569"/>
      <c r="E137" s="501"/>
      <c r="F137" s="535">
        <v>0</v>
      </c>
      <c r="G137" s="503"/>
      <c r="H137" s="52"/>
      <c r="I137" s="220" t="s">
        <v>134</v>
      </c>
      <c r="J137" s="214">
        <f>IF($J$4='1.Initial Parameters'!$D$3,F137,F137/(1+$K$3))</f>
        <v>0</v>
      </c>
      <c r="K137" s="215">
        <f>IF($K$4='1.Initial Parameters'!$D$3,F137,F137*(1+$K$3))</f>
        <v>0</v>
      </c>
      <c r="L137" s="216">
        <f t="shared" si="48"/>
        <v>0</v>
      </c>
      <c r="N137" s="210" t="s">
        <v>30</v>
      </c>
    </row>
    <row r="138" spans="2:14" ht="19.2" x14ac:dyDescent="0.3">
      <c r="B138" s="609"/>
      <c r="C138" s="610"/>
      <c r="D138" s="601" t="s">
        <v>760</v>
      </c>
      <c r="E138" s="602"/>
      <c r="F138" s="611"/>
      <c r="G138" s="612"/>
      <c r="H138" s="52"/>
      <c r="I138" s="221"/>
      <c r="N138" s="210" t="s">
        <v>30</v>
      </c>
    </row>
    <row r="139" spans="2:14" ht="24.6" customHeight="1" thickBot="1" x14ac:dyDescent="0.35">
      <c r="B139" s="584" t="s">
        <v>433</v>
      </c>
      <c r="C139" s="613"/>
      <c r="D139" s="294" t="str">
        <f>'1.Initial Parameters'!$D$14</f>
        <v>NO</v>
      </c>
      <c r="E139" s="489"/>
      <c r="F139" s="614"/>
      <c r="G139" s="586" t="s">
        <v>467</v>
      </c>
      <c r="H139" s="52"/>
      <c r="I139" s="202"/>
      <c r="N139" s="210" t="s">
        <v>30</v>
      </c>
    </row>
    <row r="140" spans="2:14" ht="15" thickTop="1" x14ac:dyDescent="0.3">
      <c r="B140" s="688"/>
      <c r="C140" s="688"/>
      <c r="D140" s="688"/>
      <c r="E140" s="688"/>
      <c r="F140" s="689"/>
      <c r="N140" s="210" t="s">
        <v>30</v>
      </c>
    </row>
    <row r="141" spans="2:14" x14ac:dyDescent="0.3">
      <c r="B141" s="463" t="s">
        <v>473</v>
      </c>
      <c r="C141" s="134" t="s">
        <v>5</v>
      </c>
      <c r="D141" s="558" t="s">
        <v>88</v>
      </c>
      <c r="E141" s="137"/>
      <c r="F141" s="135" t="s">
        <v>13</v>
      </c>
      <c r="G141" s="463" t="s">
        <v>3</v>
      </c>
      <c r="H141" s="52"/>
      <c r="I141" s="202" t="s">
        <v>161</v>
      </c>
      <c r="J141" s="211" t="s">
        <v>16</v>
      </c>
      <c r="K141" s="212" t="s">
        <v>17</v>
      </c>
      <c r="L141" s="213" t="str">
        <f>'4.TCO Calculation &amp; Comparsion'!$J$3</f>
        <v>VAT included</v>
      </c>
      <c r="N141" s="210" t="s">
        <v>30</v>
      </c>
    </row>
    <row r="142" spans="2:14" x14ac:dyDescent="0.3">
      <c r="B142" s="607" t="s">
        <v>761</v>
      </c>
      <c r="C142" s="499" t="str">
        <f>'1.Initial Parameters'!$D$27</f>
        <v>Hour/year</v>
      </c>
      <c r="D142" s="500">
        <v>3</v>
      </c>
      <c r="E142" s="501">
        <f>VLOOKUP(D142,'1.Initial Parameters'!$D$44:$E$46,2,FALSE)</f>
        <v>709</v>
      </c>
      <c r="F142" s="568">
        <v>0</v>
      </c>
      <c r="G142" s="503"/>
      <c r="H142" s="52"/>
      <c r="I142" s="220" t="s">
        <v>138</v>
      </c>
      <c r="J142" s="214">
        <f>E142*F142</f>
        <v>0</v>
      </c>
      <c r="K142" s="215">
        <f>E142*F142</f>
        <v>0</v>
      </c>
      <c r="L142" s="216">
        <f t="shared" ref="L142:L143" si="49">IF($L$4=$J$4,J142,K142)</f>
        <v>0</v>
      </c>
      <c r="N142" s="210" t="s">
        <v>139</v>
      </c>
    </row>
    <row r="143" spans="2:14" x14ac:dyDescent="0.3">
      <c r="B143" s="607" t="s">
        <v>761</v>
      </c>
      <c r="C143" s="507" t="str">
        <f>'1.Initial Parameters'!$D$25</f>
        <v>EURO/year</v>
      </c>
      <c r="D143" s="569"/>
      <c r="E143" s="501"/>
      <c r="F143" s="535">
        <v>0</v>
      </c>
      <c r="G143" s="503"/>
      <c r="H143" s="52"/>
      <c r="I143" s="220" t="s">
        <v>138</v>
      </c>
      <c r="J143" s="214">
        <f>IF($J$4='1.Initial Parameters'!$D$3,F143,F143/(1+$K$3))</f>
        <v>0</v>
      </c>
      <c r="K143" s="215">
        <f>IF($K$4='1.Initial Parameters'!$D$3,F143,F143*(1+$K$3))</f>
        <v>0</v>
      </c>
      <c r="L143" s="216">
        <f t="shared" si="49"/>
        <v>0</v>
      </c>
      <c r="N143" s="210" t="s">
        <v>30</v>
      </c>
    </row>
    <row r="144" spans="2:14" x14ac:dyDescent="0.3">
      <c r="B144" s="607" t="s">
        <v>762</v>
      </c>
      <c r="C144" s="499" t="str">
        <f>'1.Initial Parameters'!$D$27</f>
        <v>Hour/year</v>
      </c>
      <c r="D144" s="500">
        <v>3</v>
      </c>
      <c r="E144" s="501">
        <f>VLOOKUP(D144,'1.Initial Parameters'!$D$44:$E$46,2,FALSE)</f>
        <v>709</v>
      </c>
      <c r="F144" s="616">
        <v>0</v>
      </c>
      <c r="G144" s="503"/>
      <c r="H144" s="52"/>
      <c r="I144" s="220" t="s">
        <v>140</v>
      </c>
      <c r="J144" s="214">
        <f>E144*F144</f>
        <v>0</v>
      </c>
      <c r="K144" s="215">
        <f>E144*F144</f>
        <v>0</v>
      </c>
      <c r="L144" s="216">
        <f t="shared" ref="L144:L145" si="50">IF($L$4=$J$4,J144,K144)</f>
        <v>0</v>
      </c>
      <c r="N144" s="210" t="s">
        <v>139</v>
      </c>
    </row>
    <row r="145" spans="2:14" x14ac:dyDescent="0.3">
      <c r="B145" s="607" t="s">
        <v>763</v>
      </c>
      <c r="C145" s="507" t="str">
        <f>'1.Initial Parameters'!$D$25</f>
        <v>EURO/year</v>
      </c>
      <c r="D145" s="569"/>
      <c r="E145" s="501"/>
      <c r="F145" s="535">
        <v>0</v>
      </c>
      <c r="G145" s="503"/>
      <c r="H145" s="52"/>
      <c r="I145" s="220" t="s">
        <v>140</v>
      </c>
      <c r="J145" s="214">
        <f>IF($J$4='1.Initial Parameters'!$D$3,F145,F145/(1+$K$3))</f>
        <v>0</v>
      </c>
      <c r="K145" s="215">
        <f>IF($K$4='1.Initial Parameters'!$D$3,F145,F145*(1+$K$3))</f>
        <v>0</v>
      </c>
      <c r="L145" s="216">
        <f t="shared" si="50"/>
        <v>0</v>
      </c>
      <c r="N145" s="210" t="s">
        <v>30</v>
      </c>
    </row>
    <row r="146" spans="2:14" x14ac:dyDescent="0.3">
      <c r="B146" s="607" t="s">
        <v>476</v>
      </c>
      <c r="C146" s="499" t="str">
        <f>'1.Initial Parameters'!$D$27</f>
        <v>Hour/year</v>
      </c>
      <c r="D146" s="500">
        <v>2</v>
      </c>
      <c r="E146" s="501">
        <f>VLOOKUP(D146,'1.Initial Parameters'!$D$44:$E$46,2,FALSE)</f>
        <v>657</v>
      </c>
      <c r="F146" s="568">
        <v>0</v>
      </c>
      <c r="G146" s="503" t="s">
        <v>478</v>
      </c>
      <c r="H146" s="52"/>
      <c r="I146" s="220" t="s">
        <v>141</v>
      </c>
      <c r="J146" s="214">
        <f>E146*F146</f>
        <v>0</v>
      </c>
      <c r="K146" s="215">
        <f>E146*F146</f>
        <v>0</v>
      </c>
      <c r="L146" s="216">
        <f t="shared" ref="L146:L147" si="51">IF($L$4=$J$4,J146,K146)</f>
        <v>0</v>
      </c>
      <c r="N146" s="210" t="s">
        <v>139</v>
      </c>
    </row>
    <row r="147" spans="2:14" ht="15" thickBot="1" x14ac:dyDescent="0.35">
      <c r="B147" s="690" t="s">
        <v>476</v>
      </c>
      <c r="C147" s="690" t="str">
        <f>'1.Initial Parameters'!$D$25</f>
        <v>EURO/year</v>
      </c>
      <c r="D147" s="510"/>
      <c r="E147" s="489"/>
      <c r="F147" s="537">
        <v>0</v>
      </c>
      <c r="G147" s="505" t="s">
        <v>478</v>
      </c>
      <c r="H147" s="52"/>
      <c r="I147" s="220" t="s">
        <v>141</v>
      </c>
      <c r="J147" s="214">
        <f>IF($J$4='1.Initial Parameters'!$D$3,F147,F147/(1+$K$3))</f>
        <v>0</v>
      </c>
      <c r="K147" s="215">
        <f>IF($K$4='1.Initial Parameters'!$D$3,F147,F147*(1+$K$3))</f>
        <v>0</v>
      </c>
      <c r="L147" s="216">
        <f t="shared" si="51"/>
        <v>0</v>
      </c>
      <c r="N147" s="210" t="s">
        <v>30</v>
      </c>
    </row>
    <row r="148" spans="2:14" ht="15" thickTop="1" x14ac:dyDescent="0.3">
      <c r="B148" s="688"/>
      <c r="C148" s="688"/>
      <c r="D148" s="688"/>
      <c r="E148" s="688"/>
      <c r="F148" s="689"/>
      <c r="N148" s="210" t="s">
        <v>30</v>
      </c>
    </row>
    <row r="149" spans="2:14" x14ac:dyDescent="0.3">
      <c r="B149" s="463" t="s">
        <v>650</v>
      </c>
      <c r="C149" s="134" t="s">
        <v>260</v>
      </c>
      <c r="D149" s="558" t="s">
        <v>88</v>
      </c>
      <c r="E149" s="137"/>
      <c r="F149" s="135" t="s">
        <v>456</v>
      </c>
      <c r="G149" s="463" t="s">
        <v>251</v>
      </c>
      <c r="H149" s="52"/>
      <c r="I149" s="202"/>
      <c r="J149" s="211" t="s">
        <v>16</v>
      </c>
      <c r="K149" s="212" t="s">
        <v>17</v>
      </c>
      <c r="L149" s="213" t="str">
        <f>'4.TCO Calculation &amp; Comparsion'!$J$3</f>
        <v>VAT included</v>
      </c>
      <c r="N149" s="210" t="s">
        <v>30</v>
      </c>
    </row>
    <row r="150" spans="2:14" x14ac:dyDescent="0.3">
      <c r="B150" s="598" t="s">
        <v>764</v>
      </c>
      <c r="C150" s="499" t="str">
        <f>'1.Initial Parameters'!$D$35</f>
        <v>Hour</v>
      </c>
      <c r="D150" s="500">
        <v>3</v>
      </c>
      <c r="E150" s="501">
        <f>VLOOKUP(D150,'1.Initial Parameters'!$D$44:$E$46,2,FALSE)</f>
        <v>709</v>
      </c>
      <c r="F150" s="568">
        <v>0</v>
      </c>
      <c r="G150" s="503"/>
      <c r="H150" s="52"/>
      <c r="I150" s="220" t="s">
        <v>142</v>
      </c>
      <c r="J150" s="214">
        <f>E150*F150</f>
        <v>0</v>
      </c>
      <c r="K150" s="215">
        <f>E150*F150</f>
        <v>0</v>
      </c>
      <c r="L150" s="216">
        <f t="shared" ref="L150" si="52">IF($L$4=$J$4,J150,K150)</f>
        <v>0</v>
      </c>
      <c r="N150" s="210" t="s">
        <v>130</v>
      </c>
    </row>
    <row r="151" spans="2:14" x14ac:dyDescent="0.3">
      <c r="B151" s="598" t="s">
        <v>764</v>
      </c>
      <c r="C151" s="123" t="str">
        <f>JenotkaMěny</f>
        <v>EURO</v>
      </c>
      <c r="D151" s="569"/>
      <c r="E151" s="501"/>
      <c r="F151" s="535">
        <v>0</v>
      </c>
      <c r="G151" s="503"/>
      <c r="H151" s="52"/>
      <c r="I151" s="220" t="s">
        <v>142</v>
      </c>
      <c r="J151" s="214">
        <f>IF($J$4='1.Initial Parameters'!$D$3,F151,F151/(1+$K$3))</f>
        <v>0</v>
      </c>
      <c r="K151" s="215">
        <f>IF($K$4='1.Initial Parameters'!$D$3,F151,F151*(1+$K$3))</f>
        <v>0</v>
      </c>
      <c r="L151" s="216">
        <f t="shared" ref="L151:L152" si="53">IF($L$4=$J$4,J151,K151)</f>
        <v>0</v>
      </c>
      <c r="N151" s="210" t="s">
        <v>30</v>
      </c>
    </row>
    <row r="152" spans="2:14" ht="27.6" x14ac:dyDescent="0.3">
      <c r="B152" s="598" t="s">
        <v>481</v>
      </c>
      <c r="C152" s="499" t="str">
        <f>'1.Initial Parameters'!$D$35</f>
        <v>Hour</v>
      </c>
      <c r="D152" s="500">
        <v>3</v>
      </c>
      <c r="E152" s="501">
        <f>VLOOKUP(D152,'1.Initial Parameters'!$D$44:$E$46,2,FALSE)</f>
        <v>709</v>
      </c>
      <c r="F152" s="568">
        <v>0</v>
      </c>
      <c r="G152" s="503"/>
      <c r="H152" s="52"/>
      <c r="I152" s="220" t="s">
        <v>143</v>
      </c>
      <c r="J152" s="214">
        <f>E152*F152</f>
        <v>0</v>
      </c>
      <c r="K152" s="215">
        <f>E152*F152</f>
        <v>0</v>
      </c>
      <c r="L152" s="216">
        <f t="shared" si="53"/>
        <v>0</v>
      </c>
      <c r="N152" s="210" t="s">
        <v>130</v>
      </c>
    </row>
    <row r="153" spans="2:14" ht="27.6" x14ac:dyDescent="0.3">
      <c r="B153" s="598" t="s">
        <v>481</v>
      </c>
      <c r="C153" s="123" t="str">
        <f>JenotkaMěny</f>
        <v>EURO</v>
      </c>
      <c r="D153" s="569"/>
      <c r="E153" s="501"/>
      <c r="F153" s="535">
        <v>0</v>
      </c>
      <c r="G153" s="503"/>
      <c r="H153" s="52"/>
      <c r="I153" s="220" t="s">
        <v>143</v>
      </c>
      <c r="J153" s="214">
        <f>IF($J$4='1.Initial Parameters'!$D$3,F153,F153/(1+$K$3))</f>
        <v>0</v>
      </c>
      <c r="K153" s="215">
        <f>IF($K$4='1.Initial Parameters'!$D$3,F153,F153*(1+$K$3))</f>
        <v>0</v>
      </c>
      <c r="L153" s="216">
        <f t="shared" ref="L153:L154" si="54">IF($L$4=$J$4,J153,K153)</f>
        <v>0</v>
      </c>
      <c r="N153" s="210" t="s">
        <v>30</v>
      </c>
    </row>
    <row r="154" spans="2:14" x14ac:dyDescent="0.3">
      <c r="B154" s="598" t="s">
        <v>652</v>
      </c>
      <c r="C154" s="499" t="str">
        <f>'1.Initial Parameters'!$D$35</f>
        <v>Hour</v>
      </c>
      <c r="D154" s="500">
        <v>2</v>
      </c>
      <c r="E154" s="501">
        <f>VLOOKUP(D154,'1.Initial Parameters'!$D$44:$E$46,2,FALSE)</f>
        <v>657</v>
      </c>
      <c r="F154" s="568">
        <v>0</v>
      </c>
      <c r="G154" s="503"/>
      <c r="H154" s="52"/>
      <c r="I154" s="220" t="s">
        <v>144</v>
      </c>
      <c r="J154" s="214">
        <f>E154*F154</f>
        <v>0</v>
      </c>
      <c r="K154" s="215">
        <f>E154*F154</f>
        <v>0</v>
      </c>
      <c r="L154" s="216">
        <f t="shared" si="54"/>
        <v>0</v>
      </c>
      <c r="N154" s="210" t="s">
        <v>130</v>
      </c>
    </row>
    <row r="155" spans="2:14" x14ac:dyDescent="0.3">
      <c r="B155" s="598" t="s">
        <v>652</v>
      </c>
      <c r="C155" s="123" t="str">
        <f>JenotkaMěny</f>
        <v>EURO</v>
      </c>
      <c r="D155" s="569"/>
      <c r="E155" s="501"/>
      <c r="F155" s="506">
        <v>0</v>
      </c>
      <c r="G155" s="503"/>
      <c r="H155" s="52"/>
      <c r="I155" s="220" t="s">
        <v>144</v>
      </c>
      <c r="J155" s="214">
        <f>IF($J$4='1.Initial Parameters'!$D$3,F155,F155/(1+$K$3))</f>
        <v>0</v>
      </c>
      <c r="K155" s="215">
        <f>IF($K$4='1.Initial Parameters'!$D$3,F155,F155*(1+$K$3))</f>
        <v>0</v>
      </c>
      <c r="L155" s="216">
        <f t="shared" ref="L155" si="55">IF($L$4=$J$4,J155,K155)</f>
        <v>0</v>
      </c>
      <c r="N155" s="210" t="s">
        <v>30</v>
      </c>
    </row>
    <row r="156" spans="2:14" ht="19.2" x14ac:dyDescent="0.3">
      <c r="B156" s="110"/>
      <c r="C156" s="600"/>
      <c r="D156" s="601" t="s">
        <v>760</v>
      </c>
      <c r="E156" s="602"/>
      <c r="F156" s="603"/>
      <c r="G156" s="112"/>
      <c r="H156" s="52"/>
      <c r="I156" s="202"/>
      <c r="N156" s="210" t="s">
        <v>30</v>
      </c>
    </row>
    <row r="157" spans="2:14" ht="24" customHeight="1" thickBot="1" x14ac:dyDescent="0.35">
      <c r="B157" s="584" t="s">
        <v>433</v>
      </c>
      <c r="C157" s="623"/>
      <c r="D157" s="294" t="str">
        <f>'1.Initial Parameters'!$D$14</f>
        <v>NO</v>
      </c>
      <c r="E157" s="624"/>
      <c r="F157" s="625"/>
      <c r="G157" s="586" t="s">
        <v>467</v>
      </c>
      <c r="H157" s="52"/>
      <c r="I157" s="272"/>
      <c r="N157" s="210" t="s">
        <v>30</v>
      </c>
    </row>
    <row r="158" spans="2:14" ht="15.6" thickTop="1" thickBot="1" x14ac:dyDescent="0.35">
      <c r="B158" s="688"/>
      <c r="C158" s="688"/>
      <c r="D158" s="688"/>
      <c r="E158" s="688"/>
      <c r="F158" s="689"/>
      <c r="N158" s="210" t="s">
        <v>30</v>
      </c>
    </row>
    <row r="159" spans="2:14" ht="28.2" thickBot="1" x14ac:dyDescent="0.35">
      <c r="B159" s="634" t="s">
        <v>825</v>
      </c>
      <c r="C159" s="460" t="s">
        <v>260</v>
      </c>
      <c r="D159" s="460"/>
      <c r="E159" s="460"/>
      <c r="F159" s="460" t="str">
        <f>MěnaJednotka</f>
        <v>EURO</v>
      </c>
      <c r="G159" s="460" t="s">
        <v>251</v>
      </c>
      <c r="H159" s="52"/>
      <c r="I159" s="278"/>
      <c r="J159" s="211" t="s">
        <v>16</v>
      </c>
      <c r="K159" s="212" t="s">
        <v>17</v>
      </c>
      <c r="L159" s="213" t="str">
        <f>'4.TCO Calculation &amp; Comparsion'!$J$3</f>
        <v>VAT included</v>
      </c>
      <c r="M159" s="26"/>
      <c r="N159" s="210" t="s">
        <v>30</v>
      </c>
    </row>
    <row r="160" spans="2:14" ht="27.6" x14ac:dyDescent="0.3">
      <c r="B160" s="636" t="s">
        <v>765</v>
      </c>
      <c r="C160" s="111" t="str">
        <f>_xlfn.CONCAT("Selection of the ",'1.Initial Parameters'!$D$25," or ",'1.Initial Parameters'!$D$33)</f>
        <v>Selection of the EURO/year or EURO - one time charge</v>
      </c>
      <c r="D160" s="475"/>
      <c r="E160" s="637"/>
      <c r="F160" s="135" t="s">
        <v>456</v>
      </c>
      <c r="G160" s="638" t="s">
        <v>487</v>
      </c>
      <c r="H160" s="52"/>
      <c r="I160" s="278"/>
      <c r="J160" s="275"/>
      <c r="K160" s="276"/>
      <c r="L160" s="216"/>
      <c r="M160" s="26"/>
      <c r="N160" s="210" t="s">
        <v>30</v>
      </c>
    </row>
    <row r="161" spans="2:14" x14ac:dyDescent="0.3">
      <c r="B161" s="639" t="s">
        <v>766</v>
      </c>
      <c r="C161" s="640" t="s">
        <v>492</v>
      </c>
      <c r="D161" s="639"/>
      <c r="E161" s="639"/>
      <c r="F161" s="48">
        <v>0</v>
      </c>
      <c r="G161" s="639" t="s">
        <v>785</v>
      </c>
      <c r="H161" s="52"/>
      <c r="I161" s="279" t="s">
        <v>146</v>
      </c>
      <c r="J161" s="228">
        <f>ROUND(IF('1.Initial Parameters'!$D$3=$J$159,F161,F161/(1+$K$3)),0)</f>
        <v>0</v>
      </c>
      <c r="K161" s="229">
        <f>ROUND(IF('1.Initial Parameters'!$D$3=$K$159,F161,F161*(1+$K$3)),0)</f>
        <v>0</v>
      </c>
      <c r="L161" s="216">
        <f>IF($L$159=$J$159,J161,K161)</f>
        <v>0</v>
      </c>
      <c r="M161" s="26"/>
      <c r="N161" s="210" t="s">
        <v>30</v>
      </c>
    </row>
    <row r="162" spans="2:14" x14ac:dyDescent="0.3">
      <c r="B162" s="639" t="s">
        <v>495</v>
      </c>
      <c r="C162" s="640" t="s">
        <v>492</v>
      </c>
      <c r="D162" s="639"/>
      <c r="E162" s="639"/>
      <c r="F162" s="48">
        <v>0</v>
      </c>
      <c r="G162" s="639" t="s">
        <v>786</v>
      </c>
      <c r="H162" s="52"/>
      <c r="I162" s="278"/>
      <c r="J162" s="228">
        <f>ROUND(IF('1.Initial Parameters'!$D$3=$J$159,F162,F162/(1+$K$3)),0)</f>
        <v>0</v>
      </c>
      <c r="K162" s="229">
        <f>ROUND(IF('1.Initial Parameters'!$D$3=$K$159,F162,F162*(1+$K$3)),0)</f>
        <v>0</v>
      </c>
      <c r="L162" s="216">
        <f t="shared" ref="L162:L170" si="56">IF($L$159=$J$159,J162,K162)</f>
        <v>0</v>
      </c>
      <c r="M162" s="26"/>
      <c r="N162" s="210" t="s">
        <v>30</v>
      </c>
    </row>
    <row r="163" spans="2:14" x14ac:dyDescent="0.3">
      <c r="B163" s="639" t="s">
        <v>767</v>
      </c>
      <c r="C163" s="640" t="s">
        <v>493</v>
      </c>
      <c r="D163" s="639"/>
      <c r="E163" s="639"/>
      <c r="F163" s="48">
        <v>0</v>
      </c>
      <c r="G163" s="639" t="s">
        <v>787</v>
      </c>
      <c r="H163" s="52"/>
      <c r="I163" s="278"/>
      <c r="J163" s="228">
        <f>ROUND(IF('1.Initial Parameters'!$D$3=$J$159,F163,F163/(1+$K$3)),0)</f>
        <v>0</v>
      </c>
      <c r="K163" s="229">
        <f>ROUND(IF('1.Initial Parameters'!$D$3=$K$159,F163,F163*(1+$K$3)),0)</f>
        <v>0</v>
      </c>
      <c r="L163" s="216">
        <f t="shared" si="56"/>
        <v>0</v>
      </c>
      <c r="M163" s="26"/>
      <c r="N163" s="210" t="s">
        <v>30</v>
      </c>
    </row>
    <row r="164" spans="2:14" x14ac:dyDescent="0.3">
      <c r="B164" s="639" t="s">
        <v>768</v>
      </c>
      <c r="C164" s="640" t="s">
        <v>492</v>
      </c>
      <c r="D164" s="639"/>
      <c r="E164" s="639"/>
      <c r="F164" s="48">
        <v>0</v>
      </c>
      <c r="G164" s="639"/>
      <c r="H164" s="52"/>
      <c r="I164" s="278"/>
      <c r="J164" s="228">
        <f>ROUND(IF('1.Initial Parameters'!$D$3=$J$159,F164,F164/(1+$K$3)),0)</f>
        <v>0</v>
      </c>
      <c r="K164" s="229">
        <f>ROUND(IF('1.Initial Parameters'!$D$3=$K$159,F164,F164*(1+$K$3)),0)</f>
        <v>0</v>
      </c>
      <c r="L164" s="216">
        <f t="shared" si="56"/>
        <v>0</v>
      </c>
      <c r="M164" s="26"/>
      <c r="N164" s="210" t="s">
        <v>30</v>
      </c>
    </row>
    <row r="165" spans="2:14" x14ac:dyDescent="0.3">
      <c r="B165" s="639" t="s">
        <v>769</v>
      </c>
      <c r="C165" s="640" t="s">
        <v>493</v>
      </c>
      <c r="D165" s="639"/>
      <c r="E165" s="639"/>
      <c r="F165" s="48">
        <v>0</v>
      </c>
      <c r="G165" s="639" t="s">
        <v>788</v>
      </c>
      <c r="H165" s="52"/>
      <c r="I165" s="278"/>
      <c r="J165" s="228">
        <f>ROUND(IF('1.Initial Parameters'!$D$3=$J$159,F165,F165/(1+$K$3)),0)</f>
        <v>0</v>
      </c>
      <c r="K165" s="229">
        <f>ROUND(IF('1.Initial Parameters'!$D$3=$K$159,F165,F165*(1+$K$3)),0)</f>
        <v>0</v>
      </c>
      <c r="L165" s="216">
        <f t="shared" si="56"/>
        <v>0</v>
      </c>
      <c r="M165" s="26"/>
      <c r="N165" s="210" t="s">
        <v>30</v>
      </c>
    </row>
    <row r="166" spans="2:14" x14ac:dyDescent="0.3">
      <c r="B166" s="639" t="s">
        <v>770</v>
      </c>
      <c r="C166" s="640" t="s">
        <v>492</v>
      </c>
      <c r="D166" s="639"/>
      <c r="E166" s="639"/>
      <c r="F166" s="48">
        <v>0</v>
      </c>
      <c r="G166" s="639"/>
      <c r="H166" s="52"/>
      <c r="I166" s="278"/>
      <c r="J166" s="228">
        <f>ROUND(IF('1.Initial Parameters'!$D$3=$J$159,F166,F166/(1+$K$3)),0)</f>
        <v>0</v>
      </c>
      <c r="K166" s="229">
        <f>ROUND(IF('1.Initial Parameters'!$D$3=$K$159,F166,F166*(1+$K$3)),0)</f>
        <v>0</v>
      </c>
      <c r="L166" s="216">
        <f t="shared" si="56"/>
        <v>0</v>
      </c>
      <c r="M166" s="26"/>
      <c r="N166" s="210" t="s">
        <v>30</v>
      </c>
    </row>
    <row r="167" spans="2:14" x14ac:dyDescent="0.3">
      <c r="B167" s="639" t="s">
        <v>771</v>
      </c>
      <c r="C167" s="640" t="s">
        <v>492</v>
      </c>
      <c r="D167" s="639"/>
      <c r="E167" s="639"/>
      <c r="F167" s="48">
        <v>0</v>
      </c>
      <c r="G167" s="639"/>
      <c r="H167" s="52"/>
      <c r="I167" s="278"/>
      <c r="J167" s="228">
        <f>ROUND(IF('1.Initial Parameters'!$D$3=$J$159,F167,F167/(1+$K$3)),0)</f>
        <v>0</v>
      </c>
      <c r="K167" s="229">
        <f>ROUND(IF('1.Initial Parameters'!$D$3=$K$159,F167,F167*(1+$K$3)),0)</f>
        <v>0</v>
      </c>
      <c r="L167" s="216">
        <f t="shared" si="56"/>
        <v>0</v>
      </c>
      <c r="M167" s="26"/>
      <c r="N167" s="210" t="s">
        <v>30</v>
      </c>
    </row>
    <row r="168" spans="2:14" x14ac:dyDescent="0.3">
      <c r="B168" s="639" t="s">
        <v>772</v>
      </c>
      <c r="C168" s="640" t="s">
        <v>492</v>
      </c>
      <c r="D168" s="639"/>
      <c r="E168" s="639"/>
      <c r="F168" s="48">
        <v>0</v>
      </c>
      <c r="G168" s="639"/>
      <c r="H168" s="52"/>
      <c r="I168" s="278"/>
      <c r="J168" s="228">
        <f>ROUND(IF('1.Initial Parameters'!$D$3=$J$159,F168,F168/(1+$K$3)),0)</f>
        <v>0</v>
      </c>
      <c r="K168" s="229">
        <f>ROUND(IF('1.Initial Parameters'!$D$3=$K$159,F168,F168*(1+$K$3)),0)</f>
        <v>0</v>
      </c>
      <c r="L168" s="216">
        <f t="shared" si="56"/>
        <v>0</v>
      </c>
      <c r="M168" s="26"/>
      <c r="N168" s="210" t="s">
        <v>30</v>
      </c>
    </row>
    <row r="169" spans="2:14" x14ac:dyDescent="0.3">
      <c r="B169" s="639" t="s">
        <v>773</v>
      </c>
      <c r="C169" s="640" t="s">
        <v>492</v>
      </c>
      <c r="D169" s="639"/>
      <c r="E169" s="639"/>
      <c r="F169" s="48">
        <v>0</v>
      </c>
      <c r="G169" s="639"/>
      <c r="H169" s="52"/>
      <c r="I169" s="278"/>
      <c r="J169" s="228">
        <f>ROUND(IF('1.Initial Parameters'!$D$3=$J$159,F169,F169/(1+$K$3)),0)</f>
        <v>0</v>
      </c>
      <c r="K169" s="229">
        <f>ROUND(IF('1.Initial Parameters'!$D$3=$K$159,F169,F169*(1+$K$3)),0)</f>
        <v>0</v>
      </c>
      <c r="L169" s="216">
        <f t="shared" si="56"/>
        <v>0</v>
      </c>
      <c r="M169" s="26"/>
      <c r="N169" s="210" t="s">
        <v>30</v>
      </c>
    </row>
    <row r="170" spans="2:14" ht="15" thickBot="1" x14ac:dyDescent="0.35">
      <c r="B170" s="639" t="s">
        <v>774</v>
      </c>
      <c r="C170" s="640" t="s">
        <v>492</v>
      </c>
      <c r="D170" s="639"/>
      <c r="E170" s="639"/>
      <c r="F170" s="48">
        <v>0</v>
      </c>
      <c r="G170" s="639"/>
      <c r="H170" s="52"/>
      <c r="I170" s="278"/>
      <c r="J170" s="228">
        <f>ROUND(IF('1.Initial Parameters'!$D$3=$J$159,F170,F170/(1+$K$3)),0)</f>
        <v>0</v>
      </c>
      <c r="K170" s="229">
        <f>ROUND(IF('1.Initial Parameters'!$D$3=$K$159,F170,F170*(1+$K$3)),0)</f>
        <v>0</v>
      </c>
      <c r="L170" s="216">
        <f t="shared" si="56"/>
        <v>0</v>
      </c>
      <c r="M170" s="26"/>
      <c r="N170" s="210" t="s">
        <v>30</v>
      </c>
    </row>
    <row r="171" spans="2:14" ht="26.4" customHeight="1" thickTop="1" x14ac:dyDescent="0.3">
      <c r="B171" s="641" t="s">
        <v>504</v>
      </c>
      <c r="C171" s="691" t="str">
        <f>_xlfn.CONCAT("Selection of the ",'1.Initial Parameters'!$D$25," or ",'1.Initial Parameters'!$D$33)</f>
        <v>Selection of the EURO/year or EURO - one time charge</v>
      </c>
      <c r="D171" s="642"/>
      <c r="E171" s="643"/>
      <c r="F171" s="644" t="s">
        <v>456</v>
      </c>
      <c r="G171" s="645" t="s">
        <v>777</v>
      </c>
      <c r="H171" s="52"/>
      <c r="I171" s="278"/>
      <c r="J171" s="211" t="s">
        <v>16</v>
      </c>
      <c r="K171" s="212" t="s">
        <v>17</v>
      </c>
      <c r="L171" s="710" t="str">
        <f>IF($L$237=$J$237,J171,K171)</f>
        <v>VAT not included</v>
      </c>
      <c r="M171" s="26"/>
      <c r="N171" s="210" t="s">
        <v>30</v>
      </c>
    </row>
    <row r="172" spans="2:14" x14ac:dyDescent="0.3">
      <c r="B172" s="639" t="s">
        <v>505</v>
      </c>
      <c r="C172" s="640" t="s">
        <v>492</v>
      </c>
      <c r="D172" s="639"/>
      <c r="E172" s="639"/>
      <c r="F172" s="48">
        <v>0</v>
      </c>
      <c r="G172" s="639" t="s">
        <v>789</v>
      </c>
      <c r="H172" s="52"/>
      <c r="I172" s="279" t="s">
        <v>147</v>
      </c>
      <c r="J172" s="214">
        <f t="shared" ref="J172" si="57">F172</f>
        <v>0</v>
      </c>
      <c r="K172" s="215">
        <f t="shared" ref="K172" si="58">F172</f>
        <v>0</v>
      </c>
      <c r="L172" s="216">
        <f>IF($L$159=$J$159,J172,K172)</f>
        <v>0</v>
      </c>
      <c r="M172" s="26"/>
      <c r="N172" s="210" t="s">
        <v>30</v>
      </c>
    </row>
    <row r="173" spans="2:14" x14ac:dyDescent="0.3">
      <c r="B173" s="639" t="s">
        <v>506</v>
      </c>
      <c r="C173" s="640" t="s">
        <v>493</v>
      </c>
      <c r="D173" s="639"/>
      <c r="E173" s="639"/>
      <c r="F173" s="48">
        <v>0</v>
      </c>
      <c r="G173" s="639"/>
      <c r="H173" s="52"/>
      <c r="I173" s="278"/>
      <c r="J173" s="214">
        <f t="shared" ref="J173:J181" si="59">F173</f>
        <v>0</v>
      </c>
      <c r="K173" s="215">
        <f t="shared" ref="K173:K181" si="60">F173</f>
        <v>0</v>
      </c>
      <c r="L173" s="216">
        <f t="shared" ref="L173:L181" si="61">IF($L$159=$J$159,J173,K173)</f>
        <v>0</v>
      </c>
      <c r="M173" s="26"/>
      <c r="N173" s="210" t="s">
        <v>30</v>
      </c>
    </row>
    <row r="174" spans="2:14" x14ac:dyDescent="0.3">
      <c r="B174" s="639" t="s">
        <v>507</v>
      </c>
      <c r="C174" s="640" t="s">
        <v>492</v>
      </c>
      <c r="D174" s="639"/>
      <c r="E174" s="639"/>
      <c r="F174" s="48">
        <v>0</v>
      </c>
      <c r="G174" s="639" t="s">
        <v>515</v>
      </c>
      <c r="H174" s="52"/>
      <c r="I174" s="278"/>
      <c r="J174" s="214">
        <f t="shared" si="59"/>
        <v>0</v>
      </c>
      <c r="K174" s="215">
        <f t="shared" si="60"/>
        <v>0</v>
      </c>
      <c r="L174" s="216">
        <f t="shared" si="61"/>
        <v>0</v>
      </c>
      <c r="M174" s="26"/>
      <c r="N174" s="210" t="s">
        <v>30</v>
      </c>
    </row>
    <row r="175" spans="2:14" x14ac:dyDescent="0.3">
      <c r="B175" s="639" t="s">
        <v>508</v>
      </c>
      <c r="C175" s="640" t="s">
        <v>493</v>
      </c>
      <c r="D175" s="639"/>
      <c r="E175" s="639"/>
      <c r="F175" s="48">
        <v>0</v>
      </c>
      <c r="G175" s="639"/>
      <c r="H175" s="52"/>
      <c r="I175" s="278"/>
      <c r="J175" s="214">
        <f t="shared" si="59"/>
        <v>0</v>
      </c>
      <c r="K175" s="215">
        <f t="shared" si="60"/>
        <v>0</v>
      </c>
      <c r="L175" s="216">
        <f t="shared" si="61"/>
        <v>0</v>
      </c>
      <c r="M175" s="26"/>
      <c r="N175" s="210" t="s">
        <v>30</v>
      </c>
    </row>
    <row r="176" spans="2:14" x14ac:dyDescent="0.3">
      <c r="B176" s="639" t="s">
        <v>509</v>
      </c>
      <c r="C176" s="640" t="s">
        <v>492</v>
      </c>
      <c r="D176" s="639"/>
      <c r="E176" s="639"/>
      <c r="F176" s="48">
        <v>0</v>
      </c>
      <c r="G176" s="639"/>
      <c r="H176" s="52"/>
      <c r="I176" s="278"/>
      <c r="J176" s="214">
        <f t="shared" si="59"/>
        <v>0</v>
      </c>
      <c r="K176" s="215">
        <f t="shared" si="60"/>
        <v>0</v>
      </c>
      <c r="L176" s="216">
        <f t="shared" si="61"/>
        <v>0</v>
      </c>
      <c r="M176" s="26"/>
      <c r="N176" s="210" t="s">
        <v>30</v>
      </c>
    </row>
    <row r="177" spans="2:15" x14ac:dyDescent="0.3">
      <c r="B177" s="639" t="s">
        <v>775</v>
      </c>
      <c r="C177" s="640" t="s">
        <v>492</v>
      </c>
      <c r="D177" s="639"/>
      <c r="E177" s="639"/>
      <c r="F177" s="48">
        <v>0</v>
      </c>
      <c r="G177" s="639"/>
      <c r="H177" s="52"/>
      <c r="I177" s="278"/>
      <c r="J177" s="214">
        <f t="shared" si="59"/>
        <v>0</v>
      </c>
      <c r="K177" s="215">
        <f t="shared" si="60"/>
        <v>0</v>
      </c>
      <c r="L177" s="216">
        <f t="shared" si="61"/>
        <v>0</v>
      </c>
      <c r="M177" s="26"/>
      <c r="N177" s="210" t="s">
        <v>30</v>
      </c>
    </row>
    <row r="178" spans="2:15" x14ac:dyDescent="0.3">
      <c r="B178" s="639" t="s">
        <v>511</v>
      </c>
      <c r="C178" s="640" t="s">
        <v>492</v>
      </c>
      <c r="D178" s="639"/>
      <c r="E178" s="639"/>
      <c r="F178" s="48">
        <v>0</v>
      </c>
      <c r="G178" s="639"/>
      <c r="H178" s="52"/>
      <c r="I178" s="278"/>
      <c r="J178" s="214">
        <f t="shared" si="59"/>
        <v>0</v>
      </c>
      <c r="K178" s="215">
        <f t="shared" si="60"/>
        <v>0</v>
      </c>
      <c r="L178" s="216">
        <f t="shared" si="61"/>
        <v>0</v>
      </c>
      <c r="M178" s="26"/>
      <c r="N178" s="210" t="s">
        <v>30</v>
      </c>
    </row>
    <row r="179" spans="2:15" x14ac:dyDescent="0.3">
      <c r="B179" s="639" t="s">
        <v>512</v>
      </c>
      <c r="C179" s="640" t="s">
        <v>492</v>
      </c>
      <c r="D179" s="639"/>
      <c r="E179" s="639"/>
      <c r="F179" s="48">
        <v>0</v>
      </c>
      <c r="G179" s="639"/>
      <c r="H179" s="52"/>
      <c r="I179" s="278"/>
      <c r="J179" s="214">
        <f t="shared" si="59"/>
        <v>0</v>
      </c>
      <c r="K179" s="215">
        <f t="shared" si="60"/>
        <v>0</v>
      </c>
      <c r="L179" s="216">
        <f t="shared" si="61"/>
        <v>0</v>
      </c>
      <c r="M179" s="26"/>
      <c r="N179" s="210" t="s">
        <v>30</v>
      </c>
    </row>
    <row r="180" spans="2:15" x14ac:dyDescent="0.3">
      <c r="B180" s="639" t="s">
        <v>513</v>
      </c>
      <c r="C180" s="640" t="s">
        <v>492</v>
      </c>
      <c r="D180" s="639"/>
      <c r="E180" s="639"/>
      <c r="F180" s="48">
        <v>0</v>
      </c>
      <c r="G180" s="639"/>
      <c r="H180" s="52"/>
      <c r="I180" s="278"/>
      <c r="J180" s="214">
        <f t="shared" si="59"/>
        <v>0</v>
      </c>
      <c r="K180" s="215">
        <f t="shared" si="60"/>
        <v>0</v>
      </c>
      <c r="L180" s="216">
        <f t="shared" si="61"/>
        <v>0</v>
      </c>
      <c r="M180" s="26"/>
      <c r="N180" s="210" t="s">
        <v>30</v>
      </c>
    </row>
    <row r="181" spans="2:15" ht="15" thickBot="1" x14ac:dyDescent="0.35">
      <c r="B181" s="646" t="s">
        <v>776</v>
      </c>
      <c r="C181" s="647" t="s">
        <v>493</v>
      </c>
      <c r="D181" s="646"/>
      <c r="E181" s="646"/>
      <c r="F181" s="49">
        <v>0</v>
      </c>
      <c r="G181" s="646"/>
      <c r="H181" s="52"/>
      <c r="I181" s="278"/>
      <c r="J181" s="214">
        <f t="shared" si="59"/>
        <v>0</v>
      </c>
      <c r="K181" s="215">
        <f t="shared" si="60"/>
        <v>0</v>
      </c>
      <c r="L181" s="216">
        <f t="shared" si="61"/>
        <v>0</v>
      </c>
      <c r="M181" s="26"/>
      <c r="N181" s="210" t="s">
        <v>30</v>
      </c>
    </row>
    <row r="182" spans="2:15" ht="25.2" customHeight="1" thickTop="1" x14ac:dyDescent="0.3">
      <c r="B182" s="641"/>
      <c r="C182" s="648"/>
      <c r="D182" s="462" t="s">
        <v>759</v>
      </c>
      <c r="E182" s="643"/>
      <c r="F182" s="643"/>
      <c r="G182" s="649"/>
      <c r="H182" s="52"/>
      <c r="I182" s="278"/>
      <c r="J182" s="280"/>
      <c r="K182" s="280"/>
      <c r="L182" s="280"/>
      <c r="M182" s="26"/>
      <c r="N182" s="210" t="s">
        <v>30</v>
      </c>
    </row>
    <row r="183" spans="2:15" ht="42" thickBot="1" x14ac:dyDescent="0.35">
      <c r="B183" s="584" t="s">
        <v>778</v>
      </c>
      <c r="C183" s="585"/>
      <c r="D183" s="294" t="str">
        <f>'1.Initial Parameters'!$D$11</f>
        <v>YES</v>
      </c>
      <c r="E183" s="585"/>
      <c r="F183" s="590"/>
      <c r="G183" s="586" t="s">
        <v>435</v>
      </c>
      <c r="H183" s="52"/>
      <c r="I183" s="278"/>
      <c r="J183" s="278"/>
      <c r="K183" s="278"/>
      <c r="L183" s="202"/>
      <c r="M183" s="26"/>
      <c r="N183" s="210" t="s">
        <v>30</v>
      </c>
    </row>
    <row r="184" spans="2:15" ht="15" thickTop="1" x14ac:dyDescent="0.3">
      <c r="B184" s="688"/>
      <c r="C184" s="688"/>
      <c r="D184" s="688"/>
      <c r="E184" s="688"/>
      <c r="F184" s="689"/>
      <c r="J184" s="719" t="s">
        <v>148</v>
      </c>
      <c r="K184" s="719"/>
      <c r="L184" s="719"/>
    </row>
    <row r="185" spans="2:15" x14ac:dyDescent="0.3">
      <c r="B185" s="296" t="s">
        <v>517</v>
      </c>
      <c r="C185" s="4"/>
      <c r="D185" s="4"/>
      <c r="E185" s="4"/>
      <c r="F185" s="297"/>
      <c r="J185" s="211" t="s">
        <v>16</v>
      </c>
      <c r="K185" s="212" t="s">
        <v>17</v>
      </c>
      <c r="L185" s="213" t="str">
        <f>'4.TCO Calculation &amp; Comparsion'!$J$3</f>
        <v>VAT included</v>
      </c>
    </row>
    <row r="186" spans="2:15" x14ac:dyDescent="0.3">
      <c r="B186" s="298"/>
      <c r="C186" s="721" t="s">
        <v>784</v>
      </c>
      <c r="D186" s="721"/>
      <c r="E186" s="721"/>
      <c r="F186" s="722"/>
      <c r="I186" s="278" t="str">
        <f>'1.Initial Parameters'!D25</f>
        <v>EURO/year</v>
      </c>
      <c r="J186" s="214">
        <f>SUMIFS(J161:J170,$C161:$C170,I186)</f>
        <v>0</v>
      </c>
      <c r="K186" s="215">
        <f>SUMIFS(K161:K170,$C161:$C170,I186)</f>
        <v>0</v>
      </c>
      <c r="L186" s="216">
        <f>IF($L$159=$J$159,J186,K186)</f>
        <v>0</v>
      </c>
    </row>
    <row r="187" spans="2:15" x14ac:dyDescent="0.3">
      <c r="B187" s="298" t="s">
        <v>779</v>
      </c>
      <c r="C187" s="300" t="s">
        <v>149</v>
      </c>
      <c r="D187" s="299" t="s">
        <v>150</v>
      </c>
      <c r="E187" s="299"/>
      <c r="F187" s="300" t="s">
        <v>151</v>
      </c>
      <c r="I187" s="278"/>
      <c r="J187" s="719" t="s">
        <v>152</v>
      </c>
      <c r="K187" s="719"/>
      <c r="L187" s="719"/>
    </row>
    <row r="188" spans="2:15" x14ac:dyDescent="0.3">
      <c r="B188" s="301" t="s">
        <v>395</v>
      </c>
      <c r="C188" s="302">
        <f>SUMIFS($F$6:$F$181,$N$6:$N$181,"provoz",$D$6:$D$181,"1")</f>
        <v>0</v>
      </c>
      <c r="D188" s="302">
        <f>SUMIFS($F$15:$F$181,$N$15:$N$181,"provoz",$D$15:$D$181,"2")</f>
        <v>0</v>
      </c>
      <c r="E188" s="303"/>
      <c r="F188" s="302">
        <f>SUMIFS($F$15:$F$181,$N$15:$N$181,"provoz",$D$15:$D$181,"3")</f>
        <v>0</v>
      </c>
      <c r="I188" s="278"/>
      <c r="J188" s="211" t="s">
        <v>16</v>
      </c>
      <c r="K188" s="212" t="s">
        <v>17</v>
      </c>
      <c r="L188" s="213" t="str">
        <f>'4.TCO Calculation &amp; Comparsion'!$J$3</f>
        <v>VAT included</v>
      </c>
    </row>
    <row r="189" spans="2:15" ht="15" thickBot="1" x14ac:dyDescent="0.35">
      <c r="B189" s="301" t="s">
        <v>519</v>
      </c>
      <c r="C189" s="302">
        <f>SUMIFS($F$15:$F$181,$N$15:$N$181,"úpravy",$D$15:$D$181,"1")</f>
        <v>0</v>
      </c>
      <c r="D189" s="302">
        <f>SUMIFS($F$15:$F$181,$N$15:$N$181,"úpravy",$D$15:$D$181,"2")</f>
        <v>0</v>
      </c>
      <c r="E189" s="302"/>
      <c r="F189" s="302">
        <f>SUMIFS($F$15:$F$181,$N$15:$N$181,"úpravy",$D$15:$D$181,"3")</f>
        <v>0</v>
      </c>
      <c r="I189" s="278" t="str">
        <f>'1.Initial Parameters'!D33</f>
        <v>EURO - one time charge</v>
      </c>
      <c r="J189" s="214">
        <f>SUMIFS(J161:J170,$C161:$C170,I189)</f>
        <v>0</v>
      </c>
      <c r="K189" s="215">
        <f>SUMIFS(K161:K170,$C161:$C170,I189)</f>
        <v>0</v>
      </c>
      <c r="L189" s="216">
        <f>IF($L$159=$J$159,J189,K189)</f>
        <v>0</v>
      </c>
      <c r="O189" s="711">
        <f>L186*DelkaProjektu+L189</f>
        <v>0</v>
      </c>
    </row>
    <row r="190" spans="2:15" ht="15.6" thickTop="1" thickBot="1" x14ac:dyDescent="0.35">
      <c r="B190" s="301" t="s">
        <v>780</v>
      </c>
      <c r="C190" s="302">
        <f>SUMIFS($F$15:$F$181,$N$15:$N$181,"provoz KB",$D$15:$D$181,"1")</f>
        <v>0</v>
      </c>
      <c r="D190" s="302">
        <f>SUMIFS($F$15:$F$181,$N$15:$N$181,"provoz KB",$D$15:$D$181,"2")</f>
        <v>0</v>
      </c>
      <c r="E190" s="302"/>
      <c r="F190" s="302">
        <f>SUMIFS($F$15:$F$181,$N$15:$N$181,"provoz KB",$D$15:$D$181,"3")</f>
        <v>0</v>
      </c>
      <c r="I190" s="278"/>
      <c r="J190" s="712"/>
      <c r="K190" s="712"/>
      <c r="L190" s="713">
        <f>IF(D183="YES",L186,L186+L189/DelkaProjektu)</f>
        <v>0</v>
      </c>
    </row>
    <row r="191" spans="2:15" ht="15" thickTop="1" x14ac:dyDescent="0.3">
      <c r="B191" s="301" t="s">
        <v>781</v>
      </c>
      <c r="C191" s="302">
        <f>SUMIFS($F$15:$F$181,$N$15:$N$181,"provoz zvýšené náklady",$D$15:$D$181,"1")</f>
        <v>0</v>
      </c>
      <c r="D191" s="302">
        <f>SUMIFS($F$15:$F$181,$N$15:$N$181,"provoz zvýšené náklady",$D$15:$D$181,"2")</f>
        <v>0</v>
      </c>
      <c r="E191" s="303"/>
      <c r="F191" s="302">
        <f>SUMIFS($F$15:$F$181,$N$15:$N$181,"provoz zvýšené náklady",$D$15:$D$181,"3")</f>
        <v>0</v>
      </c>
      <c r="I191" s="278"/>
      <c r="J191" s="278"/>
      <c r="K191" s="278"/>
      <c r="L191" s="714"/>
    </row>
    <row r="192" spans="2:15" x14ac:dyDescent="0.3">
      <c r="B192" s="298" t="s">
        <v>528</v>
      </c>
      <c r="C192" s="300">
        <f>SUM(C188:C191)</f>
        <v>0</v>
      </c>
      <c r="D192" s="300">
        <f>SUM(D188:D191)</f>
        <v>0</v>
      </c>
      <c r="E192" s="299"/>
      <c r="F192" s="300">
        <f>SUM(F188:F191)</f>
        <v>0</v>
      </c>
      <c r="I192" s="278"/>
      <c r="J192" s="719" t="s">
        <v>153</v>
      </c>
      <c r="K192" s="719"/>
      <c r="L192" s="719"/>
    </row>
    <row r="193" spans="2:15" x14ac:dyDescent="0.3">
      <c r="B193" s="304" t="s">
        <v>524</v>
      </c>
      <c r="C193" s="305">
        <f>C192/8</f>
        <v>0</v>
      </c>
      <c r="D193" s="305">
        <f t="shared" ref="D193:F193" si="62">D192/8</f>
        <v>0</v>
      </c>
      <c r="E193" s="305"/>
      <c r="F193" s="305">
        <f t="shared" si="62"/>
        <v>0</v>
      </c>
      <c r="I193" s="278"/>
      <c r="J193" s="211" t="s">
        <v>16</v>
      </c>
      <c r="K193" s="212" t="s">
        <v>17</v>
      </c>
      <c r="L193" s="213" t="str">
        <f>'4.TCO Calculation &amp; Comparsion'!$J$3</f>
        <v>VAT included</v>
      </c>
    </row>
    <row r="194" spans="2:15" x14ac:dyDescent="0.3">
      <c r="B194" s="304" t="s">
        <v>782</v>
      </c>
      <c r="C194" s="305">
        <f>C193*DelkaProjektu</f>
        <v>0</v>
      </c>
      <c r="D194" s="305">
        <f>D193*DelkaProjektu</f>
        <v>0</v>
      </c>
      <c r="E194" s="305"/>
      <c r="F194" s="305">
        <f>F193*DelkaProjektu</f>
        <v>0</v>
      </c>
      <c r="I194" s="278" t="str">
        <f>I186</f>
        <v>EURO/year</v>
      </c>
      <c r="J194" s="214">
        <f>SUMIFS(J172:J181,$C172:$C181,I194)</f>
        <v>0</v>
      </c>
      <c r="K194" s="215">
        <f>SUMIFS(K172:K181,$C172:$C181,I194)</f>
        <v>0</v>
      </c>
      <c r="L194" s="216">
        <f>IF($L$159=$J$159,J194,K194)</f>
        <v>0</v>
      </c>
      <c r="O194" s="711">
        <f>L194*DelkaProjektu+L197</f>
        <v>0</v>
      </c>
    </row>
    <row r="195" spans="2:15" x14ac:dyDescent="0.3">
      <c r="B195" s="306"/>
      <c r="C195" s="723" t="s">
        <v>783</v>
      </c>
      <c r="D195" s="724"/>
      <c r="E195" s="724"/>
      <c r="F195" s="725"/>
      <c r="I195" s="278"/>
      <c r="J195" s="719" t="s">
        <v>154</v>
      </c>
      <c r="K195" s="719"/>
      <c r="L195" s="719"/>
    </row>
    <row r="196" spans="2:15" x14ac:dyDescent="0.3">
      <c r="B196" s="308" t="s">
        <v>525</v>
      </c>
      <c r="C196" s="309" t="s">
        <v>149</v>
      </c>
      <c r="D196" s="307" t="s">
        <v>150</v>
      </c>
      <c r="E196" s="307"/>
      <c r="F196" s="309" t="s">
        <v>151</v>
      </c>
      <c r="I196" s="278"/>
      <c r="J196" s="211" t="s">
        <v>16</v>
      </c>
      <c r="K196" s="212" t="s">
        <v>17</v>
      </c>
      <c r="L196" s="213" t="str">
        <f>'4.TCO Calculation &amp; Comparsion'!$J$3</f>
        <v>VAT included</v>
      </c>
    </row>
    <row r="197" spans="2:15" ht="15" thickBot="1" x14ac:dyDescent="0.35">
      <c r="B197" s="301" t="s">
        <v>526</v>
      </c>
      <c r="C197" s="302">
        <f>SUMIFS($F$15:$F$181,$N$15:$N$181,"jednorázově",$D$15:$D$181,"1")</f>
        <v>0</v>
      </c>
      <c r="D197" s="302">
        <f>SUMIFS($F$15:$F$181,$N$15:$N$181,"jednorázově",$D$15:$D$181,"2")</f>
        <v>0</v>
      </c>
      <c r="E197" s="303"/>
      <c r="F197" s="302">
        <f>SUMIFS($F$15:$F$181,$N$15:$N$181,"jednorázově",$D$15:$D$181,"3")</f>
        <v>0</v>
      </c>
      <c r="I197" s="278" t="str">
        <f>I189</f>
        <v>EURO - one time charge</v>
      </c>
      <c r="J197" s="214">
        <f>SUMIFS(J172:J181,$C172:$C181,I197)</f>
        <v>0</v>
      </c>
      <c r="K197" s="215">
        <f>SUMIFS(K172:K181,$C172:$C181,I197)</f>
        <v>0</v>
      </c>
      <c r="L197" s="216">
        <f>IF($L$159=$J$159,J197,K197)</f>
        <v>0</v>
      </c>
    </row>
    <row r="198" spans="2:15" ht="15.6" thickTop="1" thickBot="1" x14ac:dyDescent="0.35">
      <c r="B198" s="301" t="s">
        <v>527</v>
      </c>
      <c r="C198" s="302">
        <f>SUMIFS($F$15:$F$181,$N$15:$N$181,"ukončení",$D$15:$D$181,"1")</f>
        <v>0</v>
      </c>
      <c r="D198" s="302">
        <f>SUMIFS($F$15:$F$181,$N$15:$N$181,"ukončení",$D$15:$D$181,"2")</f>
        <v>0</v>
      </c>
      <c r="E198" s="303"/>
      <c r="F198" s="302">
        <f>SUMIFS($F$15:$F$181,$N$15:$N$181,"ukončení",$D$15:$D$181,"3")</f>
        <v>0</v>
      </c>
      <c r="J198" s="712"/>
      <c r="K198" s="712"/>
      <c r="L198" s="713">
        <f>IF(D183="YES",L194,L194+L197/DelkaProjektu)</f>
        <v>0</v>
      </c>
    </row>
    <row r="199" spans="2:15" ht="15" thickTop="1" x14ac:dyDescent="0.3">
      <c r="B199" s="308" t="s">
        <v>528</v>
      </c>
      <c r="C199" s="309">
        <f>SUM(C197:C198)</f>
        <v>0</v>
      </c>
      <c r="D199" s="309">
        <f>SUM(D197:D198)</f>
        <v>0</v>
      </c>
      <c r="E199" s="307"/>
      <c r="F199" s="309">
        <f>SUM(F197:F198)</f>
        <v>0</v>
      </c>
    </row>
    <row r="200" spans="2:15" x14ac:dyDescent="0.3">
      <c r="B200" s="310" t="s">
        <v>529</v>
      </c>
      <c r="C200" s="311">
        <f>C199/8</f>
        <v>0</v>
      </c>
      <c r="D200" s="311">
        <f t="shared" ref="D200" si="63">D199/8</f>
        <v>0</v>
      </c>
      <c r="E200" s="311"/>
      <c r="F200" s="311">
        <f t="shared" ref="F200" si="64">F199/8</f>
        <v>0</v>
      </c>
    </row>
    <row r="201" spans="2:15" x14ac:dyDescent="0.3">
      <c r="B201" s="652"/>
      <c r="C201" s="652"/>
      <c r="D201" s="652"/>
      <c r="E201" s="652"/>
    </row>
    <row r="202" spans="2:15" x14ac:dyDescent="0.3">
      <c r="B202" s="652"/>
      <c r="C202" s="652"/>
      <c r="D202" s="652"/>
      <c r="E202" s="652"/>
    </row>
    <row r="203" spans="2:15" x14ac:dyDescent="0.3">
      <c r="B203" s="652"/>
      <c r="C203" s="652"/>
      <c r="D203" s="652"/>
      <c r="E203" s="652"/>
    </row>
    <row r="204" spans="2:15" x14ac:dyDescent="0.3">
      <c r="B204" s="652"/>
      <c r="C204" s="652"/>
      <c r="D204" s="652"/>
      <c r="E204" s="652"/>
    </row>
    <row r="205" spans="2:15" x14ac:dyDescent="0.3">
      <c r="B205" s="652"/>
      <c r="C205" s="652"/>
      <c r="D205" s="652"/>
      <c r="E205" s="652"/>
    </row>
    <row r="206" spans="2:15" x14ac:dyDescent="0.3">
      <c r="B206" s="652"/>
      <c r="C206" s="652"/>
      <c r="D206" s="652"/>
      <c r="E206" s="652"/>
    </row>
    <row r="207" spans="2:15" x14ac:dyDescent="0.3">
      <c r="B207" s="652"/>
      <c r="C207" s="652"/>
      <c r="D207" s="652"/>
      <c r="E207" s="652"/>
    </row>
    <row r="208" spans="2:15" x14ac:dyDescent="0.3">
      <c r="B208" s="652"/>
      <c r="C208" s="652"/>
      <c r="D208" s="652"/>
      <c r="E208" s="652"/>
    </row>
    <row r="209" spans="2:5" x14ac:dyDescent="0.3">
      <c r="B209" s="652"/>
      <c r="C209" s="652"/>
      <c r="D209" s="652"/>
      <c r="E209" s="652"/>
    </row>
    <row r="210" spans="2:5" x14ac:dyDescent="0.3">
      <c r="B210" s="652"/>
      <c r="C210" s="652"/>
      <c r="D210" s="652"/>
      <c r="E210" s="652"/>
    </row>
    <row r="211" spans="2:5" x14ac:dyDescent="0.3">
      <c r="B211" s="652"/>
      <c r="C211" s="652"/>
      <c r="D211" s="652"/>
      <c r="E211" s="652"/>
    </row>
    <row r="212" spans="2:5" x14ac:dyDescent="0.3">
      <c r="B212" s="652"/>
      <c r="C212" s="652"/>
      <c r="D212" s="652"/>
      <c r="E212" s="652"/>
    </row>
    <row r="213" spans="2:5" x14ac:dyDescent="0.3">
      <c r="B213" s="652"/>
      <c r="C213" s="652"/>
      <c r="D213" s="652"/>
      <c r="E213" s="652"/>
    </row>
    <row r="214" spans="2:5" x14ac:dyDescent="0.3">
      <c r="B214" s="652"/>
      <c r="C214" s="652"/>
      <c r="D214" s="652"/>
      <c r="E214" s="652"/>
    </row>
    <row r="215" spans="2:5" x14ac:dyDescent="0.3">
      <c r="B215" s="652"/>
      <c r="C215" s="652"/>
      <c r="D215" s="652"/>
      <c r="E215" s="652"/>
    </row>
    <row r="216" spans="2:5" x14ac:dyDescent="0.3">
      <c r="B216" s="652"/>
      <c r="C216" s="652"/>
      <c r="D216" s="652"/>
      <c r="E216" s="652"/>
    </row>
    <row r="217" spans="2:5" x14ac:dyDescent="0.3">
      <c r="B217" s="652"/>
      <c r="C217" s="652"/>
      <c r="D217" s="652"/>
      <c r="E217" s="652"/>
    </row>
    <row r="218" spans="2:5" x14ac:dyDescent="0.3">
      <c r="B218" s="652"/>
      <c r="C218" s="652"/>
      <c r="D218" s="652"/>
      <c r="E218" s="652"/>
    </row>
    <row r="219" spans="2:5" x14ac:dyDescent="0.3">
      <c r="B219" s="652"/>
      <c r="C219" s="652"/>
      <c r="D219" s="652"/>
      <c r="E219" s="652"/>
    </row>
    <row r="220" spans="2:5" x14ac:dyDescent="0.3">
      <c r="B220" s="652"/>
      <c r="C220" s="652"/>
      <c r="D220" s="652"/>
      <c r="E220" s="652"/>
    </row>
    <row r="221" spans="2:5" x14ac:dyDescent="0.3">
      <c r="B221" s="652"/>
      <c r="C221" s="652"/>
      <c r="D221" s="652"/>
      <c r="E221" s="652"/>
    </row>
    <row r="222" spans="2:5" x14ac:dyDescent="0.3">
      <c r="B222" s="652"/>
      <c r="C222" s="652"/>
      <c r="D222" s="652"/>
      <c r="E222" s="652"/>
    </row>
    <row r="223" spans="2:5" x14ac:dyDescent="0.3">
      <c r="B223" s="652"/>
      <c r="C223" s="652"/>
      <c r="D223" s="652"/>
      <c r="E223" s="652"/>
    </row>
    <row r="224" spans="2:5" x14ac:dyDescent="0.3">
      <c r="B224" s="652"/>
      <c r="C224" s="652"/>
      <c r="D224" s="652"/>
      <c r="E224" s="652"/>
    </row>
    <row r="225" spans="2:5" x14ac:dyDescent="0.3">
      <c r="B225" s="652"/>
      <c r="C225" s="652"/>
      <c r="D225" s="652"/>
      <c r="E225" s="652"/>
    </row>
    <row r="226" spans="2:5" x14ac:dyDescent="0.3">
      <c r="B226" s="652"/>
      <c r="C226" s="652"/>
      <c r="D226" s="652"/>
      <c r="E226" s="652"/>
    </row>
    <row r="227" spans="2:5" x14ac:dyDescent="0.3">
      <c r="B227" s="652"/>
      <c r="C227" s="652"/>
      <c r="D227" s="652"/>
      <c r="E227" s="652"/>
    </row>
    <row r="228" spans="2:5" x14ac:dyDescent="0.3">
      <c r="B228" s="652"/>
      <c r="C228" s="652"/>
      <c r="D228" s="652"/>
      <c r="E228" s="652"/>
    </row>
    <row r="229" spans="2:5" x14ac:dyDescent="0.3">
      <c r="B229" s="652"/>
      <c r="C229" s="652"/>
      <c r="D229" s="652"/>
      <c r="E229" s="652"/>
    </row>
    <row r="230" spans="2:5" x14ac:dyDescent="0.3">
      <c r="B230" s="652"/>
      <c r="C230" s="652"/>
      <c r="D230" s="652"/>
      <c r="E230" s="652"/>
    </row>
    <row r="231" spans="2:5" x14ac:dyDescent="0.3">
      <c r="B231" s="652"/>
      <c r="C231" s="652"/>
      <c r="D231" s="652"/>
      <c r="E231" s="652"/>
    </row>
    <row r="232" spans="2:5" x14ac:dyDescent="0.3">
      <c r="B232" s="652"/>
      <c r="C232" s="652"/>
      <c r="D232" s="652"/>
      <c r="E232" s="652"/>
    </row>
    <row r="233" spans="2:5" x14ac:dyDescent="0.3">
      <c r="B233" s="652"/>
      <c r="C233" s="652"/>
      <c r="D233" s="652"/>
      <c r="E233" s="652"/>
    </row>
    <row r="234" spans="2:5" x14ac:dyDescent="0.3">
      <c r="B234" s="652"/>
      <c r="C234" s="652"/>
      <c r="D234" s="652"/>
      <c r="E234" s="652"/>
    </row>
    <row r="235" spans="2:5" x14ac:dyDescent="0.3">
      <c r="B235" s="652"/>
      <c r="C235" s="652"/>
      <c r="D235" s="652"/>
      <c r="E235" s="652"/>
    </row>
    <row r="236" spans="2:5" x14ac:dyDescent="0.3">
      <c r="B236" s="652"/>
      <c r="C236" s="652"/>
      <c r="D236" s="652"/>
      <c r="E236" s="652"/>
    </row>
    <row r="237" spans="2:5" x14ac:dyDescent="0.3">
      <c r="B237" s="652"/>
      <c r="C237" s="652"/>
      <c r="D237" s="652"/>
      <c r="E237" s="652"/>
    </row>
    <row r="238" spans="2:5" x14ac:dyDescent="0.3">
      <c r="B238" s="652"/>
      <c r="C238" s="652"/>
      <c r="D238" s="652"/>
      <c r="E238" s="652"/>
    </row>
    <row r="239" spans="2:5" x14ac:dyDescent="0.3">
      <c r="B239" s="652"/>
      <c r="C239" s="652"/>
      <c r="D239" s="652"/>
      <c r="E239" s="652"/>
    </row>
    <row r="240" spans="2:5" x14ac:dyDescent="0.3">
      <c r="B240" s="652"/>
      <c r="C240" s="652"/>
      <c r="D240" s="652"/>
      <c r="E240" s="652"/>
    </row>
    <row r="241" spans="2:5" x14ac:dyDescent="0.3">
      <c r="B241" s="652"/>
      <c r="C241" s="652"/>
      <c r="D241" s="652"/>
      <c r="E241" s="652"/>
    </row>
    <row r="242" spans="2:5" x14ac:dyDescent="0.3">
      <c r="B242" s="652"/>
      <c r="C242" s="652"/>
      <c r="D242" s="652"/>
      <c r="E242" s="652"/>
    </row>
    <row r="243" spans="2:5" x14ac:dyDescent="0.3">
      <c r="B243" s="652"/>
      <c r="C243" s="652"/>
      <c r="D243" s="652"/>
      <c r="E243" s="652"/>
    </row>
    <row r="244" spans="2:5" x14ac:dyDescent="0.3">
      <c r="B244" s="652"/>
      <c r="C244" s="652"/>
      <c r="D244" s="652"/>
      <c r="E244" s="652"/>
    </row>
    <row r="245" spans="2:5" x14ac:dyDescent="0.3">
      <c r="B245" s="652"/>
      <c r="C245" s="652"/>
      <c r="D245" s="652"/>
      <c r="E245" s="652"/>
    </row>
    <row r="246" spans="2:5" x14ac:dyDescent="0.3">
      <c r="B246" s="652"/>
      <c r="C246" s="652"/>
      <c r="D246" s="652"/>
      <c r="E246" s="652"/>
    </row>
    <row r="247" spans="2:5" x14ac:dyDescent="0.3">
      <c r="B247" s="652"/>
      <c r="C247" s="652"/>
      <c r="D247" s="652"/>
      <c r="E247" s="652"/>
    </row>
    <row r="248" spans="2:5" x14ac:dyDescent="0.3">
      <c r="B248" s="652"/>
      <c r="C248" s="652"/>
      <c r="D248" s="652"/>
      <c r="E248" s="652"/>
    </row>
    <row r="249" spans="2:5" x14ac:dyDescent="0.3">
      <c r="B249" s="652"/>
      <c r="C249" s="652"/>
      <c r="D249" s="652"/>
      <c r="E249" s="652"/>
    </row>
    <row r="250" spans="2:5" x14ac:dyDescent="0.3">
      <c r="B250" s="652"/>
      <c r="C250" s="652"/>
      <c r="D250" s="652"/>
      <c r="E250" s="652"/>
    </row>
    <row r="251" spans="2:5" x14ac:dyDescent="0.3">
      <c r="B251" s="652"/>
      <c r="C251" s="652"/>
      <c r="D251" s="652"/>
      <c r="E251" s="652"/>
    </row>
    <row r="252" spans="2:5" x14ac:dyDescent="0.3">
      <c r="B252" s="652"/>
      <c r="C252" s="652"/>
      <c r="D252" s="652"/>
      <c r="E252" s="652"/>
    </row>
    <row r="253" spans="2:5" x14ac:dyDescent="0.3">
      <c r="B253" s="652"/>
      <c r="C253" s="652"/>
      <c r="D253" s="652"/>
      <c r="E253" s="652"/>
    </row>
    <row r="254" spans="2:5" x14ac:dyDescent="0.3">
      <c r="B254" s="652"/>
      <c r="C254" s="652"/>
      <c r="D254" s="652"/>
      <c r="E254" s="652"/>
    </row>
    <row r="255" spans="2:5" x14ac:dyDescent="0.3">
      <c r="B255" s="652"/>
      <c r="C255" s="652"/>
      <c r="D255" s="652"/>
      <c r="E255" s="652"/>
    </row>
    <row r="256" spans="2:5" x14ac:dyDescent="0.3">
      <c r="B256" s="652"/>
      <c r="C256" s="652"/>
      <c r="D256" s="652"/>
      <c r="E256" s="652"/>
    </row>
    <row r="257" spans="2:5" x14ac:dyDescent="0.3">
      <c r="B257" s="652"/>
      <c r="C257" s="652"/>
      <c r="D257" s="652"/>
      <c r="E257" s="652"/>
    </row>
    <row r="258" spans="2:5" x14ac:dyDescent="0.3">
      <c r="B258" s="652"/>
      <c r="C258" s="652"/>
      <c r="D258" s="652"/>
      <c r="E258" s="652"/>
    </row>
    <row r="259" spans="2:5" x14ac:dyDescent="0.3">
      <c r="B259" s="652"/>
      <c r="C259" s="652"/>
      <c r="D259" s="652"/>
      <c r="E259" s="652"/>
    </row>
    <row r="260" spans="2:5" x14ac:dyDescent="0.3">
      <c r="B260" s="652"/>
      <c r="C260" s="652"/>
      <c r="D260" s="652"/>
      <c r="E260" s="652"/>
    </row>
    <row r="261" spans="2:5" x14ac:dyDescent="0.3">
      <c r="B261" s="652"/>
      <c r="C261" s="652"/>
      <c r="D261" s="652"/>
      <c r="E261" s="652"/>
    </row>
    <row r="262" spans="2:5" x14ac:dyDescent="0.3">
      <c r="B262" s="652"/>
      <c r="C262" s="652"/>
      <c r="D262" s="652"/>
      <c r="E262" s="652"/>
    </row>
    <row r="263" spans="2:5" x14ac:dyDescent="0.3">
      <c r="B263" s="652"/>
      <c r="C263" s="652"/>
      <c r="D263" s="652"/>
      <c r="E263" s="652"/>
    </row>
    <row r="264" spans="2:5" x14ac:dyDescent="0.3">
      <c r="B264" s="652"/>
      <c r="C264" s="652"/>
      <c r="D264" s="652"/>
      <c r="E264" s="652"/>
    </row>
    <row r="265" spans="2:5" x14ac:dyDescent="0.3">
      <c r="B265" s="652"/>
      <c r="C265" s="652"/>
      <c r="D265" s="652"/>
      <c r="E265" s="652"/>
    </row>
    <row r="266" spans="2:5" x14ac:dyDescent="0.3">
      <c r="B266" s="652"/>
      <c r="C266" s="652"/>
      <c r="D266" s="652"/>
      <c r="E266" s="652"/>
    </row>
    <row r="267" spans="2:5" x14ac:dyDescent="0.3">
      <c r="B267" s="652"/>
      <c r="C267" s="652"/>
      <c r="D267" s="652"/>
      <c r="E267" s="652"/>
    </row>
    <row r="268" spans="2:5" x14ac:dyDescent="0.3">
      <c r="B268" s="652"/>
      <c r="C268" s="652"/>
      <c r="D268" s="652"/>
      <c r="E268" s="652"/>
    </row>
    <row r="269" spans="2:5" x14ac:dyDescent="0.3">
      <c r="B269" s="652"/>
      <c r="C269" s="652"/>
      <c r="D269" s="652"/>
      <c r="E269" s="652"/>
    </row>
    <row r="270" spans="2:5" x14ac:dyDescent="0.3">
      <c r="B270" s="652"/>
      <c r="C270" s="652"/>
      <c r="D270" s="652"/>
      <c r="E270" s="652"/>
    </row>
    <row r="271" spans="2:5" x14ac:dyDescent="0.3">
      <c r="B271" s="652"/>
      <c r="C271" s="652"/>
      <c r="D271" s="652"/>
      <c r="E271" s="652"/>
    </row>
    <row r="272" spans="2:5" x14ac:dyDescent="0.3">
      <c r="B272" s="652"/>
      <c r="C272" s="652"/>
      <c r="D272" s="652"/>
      <c r="E272" s="652"/>
    </row>
    <row r="273" spans="2:5" x14ac:dyDescent="0.3">
      <c r="B273" s="652"/>
      <c r="C273" s="652"/>
      <c r="D273" s="652"/>
      <c r="E273" s="652"/>
    </row>
    <row r="274" spans="2:5" x14ac:dyDescent="0.3">
      <c r="B274" s="652"/>
      <c r="C274" s="652"/>
      <c r="D274" s="652"/>
      <c r="E274" s="652"/>
    </row>
    <row r="275" spans="2:5" x14ac:dyDescent="0.3">
      <c r="B275" s="652"/>
      <c r="C275" s="652"/>
      <c r="D275" s="652"/>
      <c r="E275" s="652"/>
    </row>
    <row r="276" spans="2:5" x14ac:dyDescent="0.3">
      <c r="B276" s="652"/>
      <c r="C276" s="652"/>
      <c r="D276" s="652"/>
      <c r="E276" s="652"/>
    </row>
    <row r="277" spans="2:5" x14ac:dyDescent="0.3">
      <c r="B277" s="652"/>
      <c r="C277" s="652"/>
      <c r="D277" s="652"/>
      <c r="E277" s="652"/>
    </row>
    <row r="278" spans="2:5" x14ac:dyDescent="0.3">
      <c r="B278" s="652"/>
      <c r="C278" s="652"/>
      <c r="D278" s="652"/>
      <c r="E278" s="652"/>
    </row>
    <row r="279" spans="2:5" x14ac:dyDescent="0.3">
      <c r="B279" s="652"/>
      <c r="C279" s="652"/>
      <c r="D279" s="652"/>
      <c r="E279" s="652"/>
    </row>
    <row r="280" spans="2:5" x14ac:dyDescent="0.3">
      <c r="B280" s="652"/>
      <c r="C280" s="652"/>
      <c r="D280" s="652"/>
      <c r="E280" s="652"/>
    </row>
    <row r="281" spans="2:5" x14ac:dyDescent="0.3">
      <c r="B281" s="652"/>
      <c r="C281" s="652"/>
      <c r="D281" s="652"/>
      <c r="E281" s="652"/>
    </row>
  </sheetData>
  <sheetProtection algorithmName="SHA-512" hashValue="L8CGj4l8jVCv/fR/GXMYD2nmQhtCaRJkI+Ryb1elJEeHnRX+8Z00RaG4z0cl+aLf+YgZH2S+3/jFU+FTqkwKTA==" saltValue="VuDblz709gs+7Wyb8LYk0w==" spinCount="100000" sheet="1" objects="1" scenarios="1"/>
  <mergeCells count="6">
    <mergeCell ref="C186:F186"/>
    <mergeCell ref="J184:L184"/>
    <mergeCell ref="J187:L187"/>
    <mergeCell ref="J192:L192"/>
    <mergeCell ref="J195:L195"/>
    <mergeCell ref="C195:F195"/>
  </mergeCells>
  <dataValidations count="1">
    <dataValidation type="list" allowBlank="1" showInputMessage="1" showErrorMessage="1" sqref="D15:D17 D80 D82 D64 D23:D36 D43:D45 D124 D126 D128 D130 D136 D144 D142 D146 D154 D150 D152 D95 D89 D117 D91 D93 D97 D99 D101 D103 D105 D107 D109 D111 D113 D115" xr:uid="{00000000-0002-0000-0300-000002000000}">
      <formula1>Typrole</formula1>
    </dataValidation>
  </dataValidations>
  <printOptions horizontalCentered="1"/>
  <pageMargins left="0" right="0" top="0.35433070866141736" bottom="0.35433070866141736" header="0" footer="0.15748031496062992"/>
  <pageSetup paperSize="9" scale="50" orientation="portrait" r:id="rId1"/>
  <headerFooter>
    <oddFooter>&amp;L&amp;"Calibri,Obyčejné"&amp;9Cloudové řešení - vstupy&amp;C&amp;"Calibri,Obyčejné"&amp;9&amp;P/&amp;N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F04FD3D-D504-409E-A180-CC29A1F845EF}">
          <x14:formula1>
            <xm:f>'tabulky-schovat'!$A$18:$A$19</xm:f>
          </x14:formula1>
          <xm:sqref>C161:C170 C172:C182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Sheet3">
    <tabColor rgb="FF0070C0"/>
  </sheetPr>
  <dimension ref="A1:AF237"/>
  <sheetViews>
    <sheetView topLeftCell="A201" zoomScaleNormal="100" zoomScaleSheetLayoutView="100" workbookViewId="0">
      <selection activeCell="C237" sqref="C237"/>
    </sheetView>
  </sheetViews>
  <sheetFormatPr defaultColWidth="7.59765625" defaultRowHeight="14.4" outlineLevelRow="1" outlineLevelCol="1" x14ac:dyDescent="0.3"/>
  <cols>
    <col min="1" max="1" width="3.09765625" style="4" customWidth="1"/>
    <col min="2" max="2" width="4.09765625" style="12" customWidth="1"/>
    <col min="3" max="3" width="52.09765625" style="9" customWidth="1"/>
    <col min="4" max="4" width="10.8984375" style="5" customWidth="1"/>
    <col min="5" max="10" width="12.59765625" style="9" customWidth="1"/>
    <col min="11" max="11" width="2.5" style="9" customWidth="1"/>
    <col min="12" max="12" width="9.8984375" style="35" hidden="1" customWidth="1" outlineLevel="1"/>
    <col min="13" max="13" width="1.3984375" style="35" hidden="1" customWidth="1" outlineLevel="1"/>
    <col min="14" max="14" width="18.8984375" style="35" hidden="1" customWidth="1" outlineLevel="1"/>
    <col min="15" max="15" width="7.59765625" style="35" hidden="1" customWidth="1" outlineLevel="1"/>
    <col min="16" max="18" width="7.59765625" style="26" hidden="1" customWidth="1" outlineLevel="1"/>
    <col min="19" max="19" width="7.59765625" style="26" collapsed="1"/>
    <col min="20" max="32" width="7.59765625" style="26"/>
    <col min="33" max="250" width="7.59765625" style="1"/>
    <col min="251" max="251" width="40.5" style="1" customWidth="1"/>
    <col min="252" max="252" width="7.59765625" style="1"/>
    <col min="253" max="253" width="10.59765625" style="1" bestFit="1" customWidth="1"/>
    <col min="254" max="254" width="8.8984375" style="1" customWidth="1"/>
    <col min="255" max="257" width="8.09765625" style="1" bestFit="1" customWidth="1"/>
    <col min="258" max="258" width="9.09765625" style="1" bestFit="1" customWidth="1"/>
    <col min="259" max="506" width="7.59765625" style="1"/>
    <col min="507" max="507" width="40.5" style="1" customWidth="1"/>
    <col min="508" max="508" width="7.59765625" style="1"/>
    <col min="509" max="509" width="10.59765625" style="1" bestFit="1" customWidth="1"/>
    <col min="510" max="510" width="8.8984375" style="1" customWidth="1"/>
    <col min="511" max="513" width="8.09765625" style="1" bestFit="1" customWidth="1"/>
    <col min="514" max="514" width="9.09765625" style="1" bestFit="1" customWidth="1"/>
    <col min="515" max="762" width="7.59765625" style="1"/>
    <col min="763" max="763" width="40.5" style="1" customWidth="1"/>
    <col min="764" max="764" width="7.59765625" style="1"/>
    <col min="765" max="765" width="10.59765625" style="1" bestFit="1" customWidth="1"/>
    <col min="766" max="766" width="8.8984375" style="1" customWidth="1"/>
    <col min="767" max="769" width="8.09765625" style="1" bestFit="1" customWidth="1"/>
    <col min="770" max="770" width="9.09765625" style="1" bestFit="1" customWidth="1"/>
    <col min="771" max="1018" width="7.59765625" style="1"/>
    <col min="1019" max="1019" width="40.5" style="1" customWidth="1"/>
    <col min="1020" max="1020" width="7.59765625" style="1"/>
    <col min="1021" max="1021" width="10.59765625" style="1" bestFit="1" customWidth="1"/>
    <col min="1022" max="1022" width="8.8984375" style="1" customWidth="1"/>
    <col min="1023" max="1025" width="8.09765625" style="1" bestFit="1" customWidth="1"/>
    <col min="1026" max="1026" width="9.09765625" style="1" bestFit="1" customWidth="1"/>
    <col min="1027" max="1274" width="7.59765625" style="1"/>
    <col min="1275" max="1275" width="40.5" style="1" customWidth="1"/>
    <col min="1276" max="1276" width="7.59765625" style="1"/>
    <col min="1277" max="1277" width="10.59765625" style="1" bestFit="1" customWidth="1"/>
    <col min="1278" max="1278" width="8.8984375" style="1" customWidth="1"/>
    <col min="1279" max="1281" width="8.09765625" style="1" bestFit="1" customWidth="1"/>
    <col min="1282" max="1282" width="9.09765625" style="1" bestFit="1" customWidth="1"/>
    <col min="1283" max="1530" width="7.59765625" style="1"/>
    <col min="1531" max="1531" width="40.5" style="1" customWidth="1"/>
    <col min="1532" max="1532" width="7.59765625" style="1"/>
    <col min="1533" max="1533" width="10.59765625" style="1" bestFit="1" customWidth="1"/>
    <col min="1534" max="1534" width="8.8984375" style="1" customWidth="1"/>
    <col min="1535" max="1537" width="8.09765625" style="1" bestFit="1" customWidth="1"/>
    <col min="1538" max="1538" width="9.09765625" style="1" bestFit="1" customWidth="1"/>
    <col min="1539" max="1786" width="7.59765625" style="1"/>
    <col min="1787" max="1787" width="40.5" style="1" customWidth="1"/>
    <col min="1788" max="1788" width="7.59765625" style="1"/>
    <col min="1789" max="1789" width="10.59765625" style="1" bestFit="1" customWidth="1"/>
    <col min="1790" max="1790" width="8.8984375" style="1" customWidth="1"/>
    <col min="1791" max="1793" width="8.09765625" style="1" bestFit="1" customWidth="1"/>
    <col min="1794" max="1794" width="9.09765625" style="1" bestFit="1" customWidth="1"/>
    <col min="1795" max="2042" width="7.59765625" style="1"/>
    <col min="2043" max="2043" width="40.5" style="1" customWidth="1"/>
    <col min="2044" max="2044" width="7.59765625" style="1"/>
    <col min="2045" max="2045" width="10.59765625" style="1" bestFit="1" customWidth="1"/>
    <col min="2046" max="2046" width="8.8984375" style="1" customWidth="1"/>
    <col min="2047" max="2049" width="8.09765625" style="1" bestFit="1" customWidth="1"/>
    <col min="2050" max="2050" width="9.09765625" style="1" bestFit="1" customWidth="1"/>
    <col min="2051" max="2298" width="7.59765625" style="1"/>
    <col min="2299" max="2299" width="40.5" style="1" customWidth="1"/>
    <col min="2300" max="2300" width="7.59765625" style="1"/>
    <col min="2301" max="2301" width="10.59765625" style="1" bestFit="1" customWidth="1"/>
    <col min="2302" max="2302" width="8.8984375" style="1" customWidth="1"/>
    <col min="2303" max="2305" width="8.09765625" style="1" bestFit="1" customWidth="1"/>
    <col min="2306" max="2306" width="9.09765625" style="1" bestFit="1" customWidth="1"/>
    <col min="2307" max="2554" width="7.59765625" style="1"/>
    <col min="2555" max="2555" width="40.5" style="1" customWidth="1"/>
    <col min="2556" max="2556" width="7.59765625" style="1"/>
    <col min="2557" max="2557" width="10.59765625" style="1" bestFit="1" customWidth="1"/>
    <col min="2558" max="2558" width="8.8984375" style="1" customWidth="1"/>
    <col min="2559" max="2561" width="8.09765625" style="1" bestFit="1" customWidth="1"/>
    <col min="2562" max="2562" width="9.09765625" style="1" bestFit="1" customWidth="1"/>
    <col min="2563" max="2810" width="7.59765625" style="1"/>
    <col min="2811" max="2811" width="40.5" style="1" customWidth="1"/>
    <col min="2812" max="2812" width="7.59765625" style="1"/>
    <col min="2813" max="2813" width="10.59765625" style="1" bestFit="1" customWidth="1"/>
    <col min="2814" max="2814" width="8.8984375" style="1" customWidth="1"/>
    <col min="2815" max="2817" width="8.09765625" style="1" bestFit="1" customWidth="1"/>
    <col min="2818" max="2818" width="9.09765625" style="1" bestFit="1" customWidth="1"/>
    <col min="2819" max="3066" width="7.59765625" style="1"/>
    <col min="3067" max="3067" width="40.5" style="1" customWidth="1"/>
    <col min="3068" max="3068" width="7.59765625" style="1"/>
    <col min="3069" max="3069" width="10.59765625" style="1" bestFit="1" customWidth="1"/>
    <col min="3070" max="3070" width="8.8984375" style="1" customWidth="1"/>
    <col min="3071" max="3073" width="8.09765625" style="1" bestFit="1" customWidth="1"/>
    <col min="3074" max="3074" width="9.09765625" style="1" bestFit="1" customWidth="1"/>
    <col min="3075" max="3322" width="7.59765625" style="1"/>
    <col min="3323" max="3323" width="40.5" style="1" customWidth="1"/>
    <col min="3324" max="3324" width="7.59765625" style="1"/>
    <col min="3325" max="3325" width="10.59765625" style="1" bestFit="1" customWidth="1"/>
    <col min="3326" max="3326" width="8.8984375" style="1" customWidth="1"/>
    <col min="3327" max="3329" width="8.09765625" style="1" bestFit="1" customWidth="1"/>
    <col min="3330" max="3330" width="9.09765625" style="1" bestFit="1" customWidth="1"/>
    <col min="3331" max="3578" width="7.59765625" style="1"/>
    <col min="3579" max="3579" width="40.5" style="1" customWidth="1"/>
    <col min="3580" max="3580" width="7.59765625" style="1"/>
    <col min="3581" max="3581" width="10.59765625" style="1" bestFit="1" customWidth="1"/>
    <col min="3582" max="3582" width="8.8984375" style="1" customWidth="1"/>
    <col min="3583" max="3585" width="8.09765625" style="1" bestFit="1" customWidth="1"/>
    <col min="3586" max="3586" width="9.09765625" style="1" bestFit="1" customWidth="1"/>
    <col min="3587" max="3834" width="7.59765625" style="1"/>
    <col min="3835" max="3835" width="40.5" style="1" customWidth="1"/>
    <col min="3836" max="3836" width="7.59765625" style="1"/>
    <col min="3837" max="3837" width="10.59765625" style="1" bestFit="1" customWidth="1"/>
    <col min="3838" max="3838" width="8.8984375" style="1" customWidth="1"/>
    <col min="3839" max="3841" width="8.09765625" style="1" bestFit="1" customWidth="1"/>
    <col min="3842" max="3842" width="9.09765625" style="1" bestFit="1" customWidth="1"/>
    <col min="3843" max="4090" width="7.59765625" style="1"/>
    <col min="4091" max="4091" width="40.5" style="1" customWidth="1"/>
    <col min="4092" max="4092" width="7.59765625" style="1"/>
    <col min="4093" max="4093" width="10.59765625" style="1" bestFit="1" customWidth="1"/>
    <col min="4094" max="4094" width="8.8984375" style="1" customWidth="1"/>
    <col min="4095" max="4097" width="8.09765625" style="1" bestFit="1" customWidth="1"/>
    <col min="4098" max="4098" width="9.09765625" style="1" bestFit="1" customWidth="1"/>
    <col min="4099" max="4346" width="7.59765625" style="1"/>
    <col min="4347" max="4347" width="40.5" style="1" customWidth="1"/>
    <col min="4348" max="4348" width="7.59765625" style="1"/>
    <col min="4349" max="4349" width="10.59765625" style="1" bestFit="1" customWidth="1"/>
    <col min="4350" max="4350" width="8.8984375" style="1" customWidth="1"/>
    <col min="4351" max="4353" width="8.09765625" style="1" bestFit="1" customWidth="1"/>
    <col min="4354" max="4354" width="9.09765625" style="1" bestFit="1" customWidth="1"/>
    <col min="4355" max="4602" width="7.59765625" style="1"/>
    <col min="4603" max="4603" width="40.5" style="1" customWidth="1"/>
    <col min="4604" max="4604" width="7.59765625" style="1"/>
    <col min="4605" max="4605" width="10.59765625" style="1" bestFit="1" customWidth="1"/>
    <col min="4606" max="4606" width="8.8984375" style="1" customWidth="1"/>
    <col min="4607" max="4609" width="8.09765625" style="1" bestFit="1" customWidth="1"/>
    <col min="4610" max="4610" width="9.09765625" style="1" bestFit="1" customWidth="1"/>
    <col min="4611" max="4858" width="7.59765625" style="1"/>
    <col min="4859" max="4859" width="40.5" style="1" customWidth="1"/>
    <col min="4860" max="4860" width="7.59765625" style="1"/>
    <col min="4861" max="4861" width="10.59765625" style="1" bestFit="1" customWidth="1"/>
    <col min="4862" max="4862" width="8.8984375" style="1" customWidth="1"/>
    <col min="4863" max="4865" width="8.09765625" style="1" bestFit="1" customWidth="1"/>
    <col min="4866" max="4866" width="9.09765625" style="1" bestFit="1" customWidth="1"/>
    <col min="4867" max="5114" width="7.59765625" style="1"/>
    <col min="5115" max="5115" width="40.5" style="1" customWidth="1"/>
    <col min="5116" max="5116" width="7.59765625" style="1"/>
    <col min="5117" max="5117" width="10.59765625" style="1" bestFit="1" customWidth="1"/>
    <col min="5118" max="5118" width="8.8984375" style="1" customWidth="1"/>
    <col min="5119" max="5121" width="8.09765625" style="1" bestFit="1" customWidth="1"/>
    <col min="5122" max="5122" width="9.09765625" style="1" bestFit="1" customWidth="1"/>
    <col min="5123" max="5370" width="7.59765625" style="1"/>
    <col min="5371" max="5371" width="40.5" style="1" customWidth="1"/>
    <col min="5372" max="5372" width="7.59765625" style="1"/>
    <col min="5373" max="5373" width="10.59765625" style="1" bestFit="1" customWidth="1"/>
    <col min="5374" max="5374" width="8.8984375" style="1" customWidth="1"/>
    <col min="5375" max="5377" width="8.09765625" style="1" bestFit="1" customWidth="1"/>
    <col min="5378" max="5378" width="9.09765625" style="1" bestFit="1" customWidth="1"/>
    <col min="5379" max="5626" width="7.59765625" style="1"/>
    <col min="5627" max="5627" width="40.5" style="1" customWidth="1"/>
    <col min="5628" max="5628" width="7.59765625" style="1"/>
    <col min="5629" max="5629" width="10.59765625" style="1" bestFit="1" customWidth="1"/>
    <col min="5630" max="5630" width="8.8984375" style="1" customWidth="1"/>
    <col min="5631" max="5633" width="8.09765625" style="1" bestFit="1" customWidth="1"/>
    <col min="5634" max="5634" width="9.09765625" style="1" bestFit="1" customWidth="1"/>
    <col min="5635" max="5882" width="7.59765625" style="1"/>
    <col min="5883" max="5883" width="40.5" style="1" customWidth="1"/>
    <col min="5884" max="5884" width="7.59765625" style="1"/>
    <col min="5885" max="5885" width="10.59765625" style="1" bestFit="1" customWidth="1"/>
    <col min="5886" max="5886" width="8.8984375" style="1" customWidth="1"/>
    <col min="5887" max="5889" width="8.09765625" style="1" bestFit="1" customWidth="1"/>
    <col min="5890" max="5890" width="9.09765625" style="1" bestFit="1" customWidth="1"/>
    <col min="5891" max="6138" width="7.59765625" style="1"/>
    <col min="6139" max="6139" width="40.5" style="1" customWidth="1"/>
    <col min="6140" max="6140" width="7.59765625" style="1"/>
    <col min="6141" max="6141" width="10.59765625" style="1" bestFit="1" customWidth="1"/>
    <col min="6142" max="6142" width="8.8984375" style="1" customWidth="1"/>
    <col min="6143" max="6145" width="8.09765625" style="1" bestFit="1" customWidth="1"/>
    <col min="6146" max="6146" width="9.09765625" style="1" bestFit="1" customWidth="1"/>
    <col min="6147" max="6394" width="7.59765625" style="1"/>
    <col min="6395" max="6395" width="40.5" style="1" customWidth="1"/>
    <col min="6396" max="6396" width="7.59765625" style="1"/>
    <col min="6397" max="6397" width="10.59765625" style="1" bestFit="1" customWidth="1"/>
    <col min="6398" max="6398" width="8.8984375" style="1" customWidth="1"/>
    <col min="6399" max="6401" width="8.09765625" style="1" bestFit="1" customWidth="1"/>
    <col min="6402" max="6402" width="9.09765625" style="1" bestFit="1" customWidth="1"/>
    <col min="6403" max="6650" width="7.59765625" style="1"/>
    <col min="6651" max="6651" width="40.5" style="1" customWidth="1"/>
    <col min="6652" max="6652" width="7.59765625" style="1"/>
    <col min="6653" max="6653" width="10.59765625" style="1" bestFit="1" customWidth="1"/>
    <col min="6654" max="6654" width="8.8984375" style="1" customWidth="1"/>
    <col min="6655" max="6657" width="8.09765625" style="1" bestFit="1" customWidth="1"/>
    <col min="6658" max="6658" width="9.09765625" style="1" bestFit="1" customWidth="1"/>
    <col min="6659" max="6906" width="7.59765625" style="1"/>
    <col min="6907" max="6907" width="40.5" style="1" customWidth="1"/>
    <col min="6908" max="6908" width="7.59765625" style="1"/>
    <col min="6909" max="6909" width="10.59765625" style="1" bestFit="1" customWidth="1"/>
    <col min="6910" max="6910" width="8.8984375" style="1" customWidth="1"/>
    <col min="6911" max="6913" width="8.09765625" style="1" bestFit="1" customWidth="1"/>
    <col min="6914" max="6914" width="9.09765625" style="1" bestFit="1" customWidth="1"/>
    <col min="6915" max="7162" width="7.59765625" style="1"/>
    <col min="7163" max="7163" width="40.5" style="1" customWidth="1"/>
    <col min="7164" max="7164" width="7.59765625" style="1"/>
    <col min="7165" max="7165" width="10.59765625" style="1" bestFit="1" customWidth="1"/>
    <col min="7166" max="7166" width="8.8984375" style="1" customWidth="1"/>
    <col min="7167" max="7169" width="8.09765625" style="1" bestFit="1" customWidth="1"/>
    <col min="7170" max="7170" width="9.09765625" style="1" bestFit="1" customWidth="1"/>
    <col min="7171" max="7418" width="7.59765625" style="1"/>
    <col min="7419" max="7419" width="40.5" style="1" customWidth="1"/>
    <col min="7420" max="7420" width="7.59765625" style="1"/>
    <col min="7421" max="7421" width="10.59765625" style="1" bestFit="1" customWidth="1"/>
    <col min="7422" max="7422" width="8.8984375" style="1" customWidth="1"/>
    <col min="7423" max="7425" width="8.09765625" style="1" bestFit="1" customWidth="1"/>
    <col min="7426" max="7426" width="9.09765625" style="1" bestFit="1" customWidth="1"/>
    <col min="7427" max="7674" width="7.59765625" style="1"/>
    <col min="7675" max="7675" width="40.5" style="1" customWidth="1"/>
    <col min="7676" max="7676" width="7.59765625" style="1"/>
    <col min="7677" max="7677" width="10.59765625" style="1" bestFit="1" customWidth="1"/>
    <col min="7678" max="7678" width="8.8984375" style="1" customWidth="1"/>
    <col min="7679" max="7681" width="8.09765625" style="1" bestFit="1" customWidth="1"/>
    <col min="7682" max="7682" width="9.09765625" style="1" bestFit="1" customWidth="1"/>
    <col min="7683" max="7930" width="7.59765625" style="1"/>
    <col min="7931" max="7931" width="40.5" style="1" customWidth="1"/>
    <col min="7932" max="7932" width="7.59765625" style="1"/>
    <col min="7933" max="7933" width="10.59765625" style="1" bestFit="1" customWidth="1"/>
    <col min="7934" max="7934" width="8.8984375" style="1" customWidth="1"/>
    <col min="7935" max="7937" width="8.09765625" style="1" bestFit="1" customWidth="1"/>
    <col min="7938" max="7938" width="9.09765625" style="1" bestFit="1" customWidth="1"/>
    <col min="7939" max="8186" width="7.59765625" style="1"/>
    <col min="8187" max="8187" width="40.5" style="1" customWidth="1"/>
    <col min="8188" max="8188" width="7.59765625" style="1"/>
    <col min="8189" max="8189" width="10.59765625" style="1" bestFit="1" customWidth="1"/>
    <col min="8190" max="8190" width="8.8984375" style="1" customWidth="1"/>
    <col min="8191" max="8193" width="8.09765625" style="1" bestFit="1" customWidth="1"/>
    <col min="8194" max="8194" width="9.09765625" style="1" bestFit="1" customWidth="1"/>
    <col min="8195" max="8442" width="7.59765625" style="1"/>
    <col min="8443" max="8443" width="40.5" style="1" customWidth="1"/>
    <col min="8444" max="8444" width="7.59765625" style="1"/>
    <col min="8445" max="8445" width="10.59765625" style="1" bestFit="1" customWidth="1"/>
    <col min="8446" max="8446" width="8.8984375" style="1" customWidth="1"/>
    <col min="8447" max="8449" width="8.09765625" style="1" bestFit="1" customWidth="1"/>
    <col min="8450" max="8450" width="9.09765625" style="1" bestFit="1" customWidth="1"/>
    <col min="8451" max="8698" width="7.59765625" style="1"/>
    <col min="8699" max="8699" width="40.5" style="1" customWidth="1"/>
    <col min="8700" max="8700" width="7.59765625" style="1"/>
    <col min="8701" max="8701" width="10.59765625" style="1" bestFit="1" customWidth="1"/>
    <col min="8702" max="8702" width="8.8984375" style="1" customWidth="1"/>
    <col min="8703" max="8705" width="8.09765625" style="1" bestFit="1" customWidth="1"/>
    <col min="8706" max="8706" width="9.09765625" style="1" bestFit="1" customWidth="1"/>
    <col min="8707" max="8954" width="7.59765625" style="1"/>
    <col min="8955" max="8955" width="40.5" style="1" customWidth="1"/>
    <col min="8956" max="8956" width="7.59765625" style="1"/>
    <col min="8957" max="8957" width="10.59765625" style="1" bestFit="1" customWidth="1"/>
    <col min="8958" max="8958" width="8.8984375" style="1" customWidth="1"/>
    <col min="8959" max="8961" width="8.09765625" style="1" bestFit="1" customWidth="1"/>
    <col min="8962" max="8962" width="9.09765625" style="1" bestFit="1" customWidth="1"/>
    <col min="8963" max="9210" width="7.59765625" style="1"/>
    <col min="9211" max="9211" width="40.5" style="1" customWidth="1"/>
    <col min="9212" max="9212" width="7.59765625" style="1"/>
    <col min="9213" max="9213" width="10.59765625" style="1" bestFit="1" customWidth="1"/>
    <col min="9214" max="9214" width="8.8984375" style="1" customWidth="1"/>
    <col min="9215" max="9217" width="8.09765625" style="1" bestFit="1" customWidth="1"/>
    <col min="9218" max="9218" width="9.09765625" style="1" bestFit="1" customWidth="1"/>
    <col min="9219" max="9466" width="7.59765625" style="1"/>
    <col min="9467" max="9467" width="40.5" style="1" customWidth="1"/>
    <col min="9468" max="9468" width="7.59765625" style="1"/>
    <col min="9469" max="9469" width="10.59765625" style="1" bestFit="1" customWidth="1"/>
    <col min="9470" max="9470" width="8.8984375" style="1" customWidth="1"/>
    <col min="9471" max="9473" width="8.09765625" style="1" bestFit="1" customWidth="1"/>
    <col min="9474" max="9474" width="9.09765625" style="1" bestFit="1" customWidth="1"/>
    <col min="9475" max="9722" width="7.59765625" style="1"/>
    <col min="9723" max="9723" width="40.5" style="1" customWidth="1"/>
    <col min="9724" max="9724" width="7.59765625" style="1"/>
    <col min="9725" max="9725" width="10.59765625" style="1" bestFit="1" customWidth="1"/>
    <col min="9726" max="9726" width="8.8984375" style="1" customWidth="1"/>
    <col min="9727" max="9729" width="8.09765625" style="1" bestFit="1" customWidth="1"/>
    <col min="9730" max="9730" width="9.09765625" style="1" bestFit="1" customWidth="1"/>
    <col min="9731" max="9978" width="7.59765625" style="1"/>
    <col min="9979" max="9979" width="40.5" style="1" customWidth="1"/>
    <col min="9980" max="9980" width="7.59765625" style="1"/>
    <col min="9981" max="9981" width="10.59765625" style="1" bestFit="1" customWidth="1"/>
    <col min="9982" max="9982" width="8.8984375" style="1" customWidth="1"/>
    <col min="9983" max="9985" width="8.09765625" style="1" bestFit="1" customWidth="1"/>
    <col min="9986" max="9986" width="9.09765625" style="1" bestFit="1" customWidth="1"/>
    <col min="9987" max="10234" width="7.59765625" style="1"/>
    <col min="10235" max="10235" width="40.5" style="1" customWidth="1"/>
    <col min="10236" max="10236" width="7.59765625" style="1"/>
    <col min="10237" max="10237" width="10.59765625" style="1" bestFit="1" customWidth="1"/>
    <col min="10238" max="10238" width="8.8984375" style="1" customWidth="1"/>
    <col min="10239" max="10241" width="8.09765625" style="1" bestFit="1" customWidth="1"/>
    <col min="10242" max="10242" width="9.09765625" style="1" bestFit="1" customWidth="1"/>
    <col min="10243" max="10490" width="7.59765625" style="1"/>
    <col min="10491" max="10491" width="40.5" style="1" customWidth="1"/>
    <col min="10492" max="10492" width="7.59765625" style="1"/>
    <col min="10493" max="10493" width="10.59765625" style="1" bestFit="1" customWidth="1"/>
    <col min="10494" max="10494" width="8.8984375" style="1" customWidth="1"/>
    <col min="10495" max="10497" width="8.09765625" style="1" bestFit="1" customWidth="1"/>
    <col min="10498" max="10498" width="9.09765625" style="1" bestFit="1" customWidth="1"/>
    <col min="10499" max="10746" width="7.59765625" style="1"/>
    <col min="10747" max="10747" width="40.5" style="1" customWidth="1"/>
    <col min="10748" max="10748" width="7.59765625" style="1"/>
    <col min="10749" max="10749" width="10.59765625" style="1" bestFit="1" customWidth="1"/>
    <col min="10750" max="10750" width="8.8984375" style="1" customWidth="1"/>
    <col min="10751" max="10753" width="8.09765625" style="1" bestFit="1" customWidth="1"/>
    <col min="10754" max="10754" width="9.09765625" style="1" bestFit="1" customWidth="1"/>
    <col min="10755" max="11002" width="7.59765625" style="1"/>
    <col min="11003" max="11003" width="40.5" style="1" customWidth="1"/>
    <col min="11004" max="11004" width="7.59765625" style="1"/>
    <col min="11005" max="11005" width="10.59765625" style="1" bestFit="1" customWidth="1"/>
    <col min="11006" max="11006" width="8.8984375" style="1" customWidth="1"/>
    <col min="11007" max="11009" width="8.09765625" style="1" bestFit="1" customWidth="1"/>
    <col min="11010" max="11010" width="9.09765625" style="1" bestFit="1" customWidth="1"/>
    <col min="11011" max="11258" width="7.59765625" style="1"/>
    <col min="11259" max="11259" width="40.5" style="1" customWidth="1"/>
    <col min="11260" max="11260" width="7.59765625" style="1"/>
    <col min="11261" max="11261" width="10.59765625" style="1" bestFit="1" customWidth="1"/>
    <col min="11262" max="11262" width="8.8984375" style="1" customWidth="1"/>
    <col min="11263" max="11265" width="8.09765625" style="1" bestFit="1" customWidth="1"/>
    <col min="11266" max="11266" width="9.09765625" style="1" bestFit="1" customWidth="1"/>
    <col min="11267" max="11514" width="7.59765625" style="1"/>
    <col min="11515" max="11515" width="40.5" style="1" customWidth="1"/>
    <col min="11516" max="11516" width="7.59765625" style="1"/>
    <col min="11517" max="11517" width="10.59765625" style="1" bestFit="1" customWidth="1"/>
    <col min="11518" max="11518" width="8.8984375" style="1" customWidth="1"/>
    <col min="11519" max="11521" width="8.09765625" style="1" bestFit="1" customWidth="1"/>
    <col min="11522" max="11522" width="9.09765625" style="1" bestFit="1" customWidth="1"/>
    <col min="11523" max="11770" width="7.59765625" style="1"/>
    <col min="11771" max="11771" width="40.5" style="1" customWidth="1"/>
    <col min="11772" max="11772" width="7.59765625" style="1"/>
    <col min="11773" max="11773" width="10.59765625" style="1" bestFit="1" customWidth="1"/>
    <col min="11774" max="11774" width="8.8984375" style="1" customWidth="1"/>
    <col min="11775" max="11777" width="8.09765625" style="1" bestFit="1" customWidth="1"/>
    <col min="11778" max="11778" width="9.09765625" style="1" bestFit="1" customWidth="1"/>
    <col min="11779" max="12026" width="7.59765625" style="1"/>
    <col min="12027" max="12027" width="40.5" style="1" customWidth="1"/>
    <col min="12028" max="12028" width="7.59765625" style="1"/>
    <col min="12029" max="12029" width="10.59765625" style="1" bestFit="1" customWidth="1"/>
    <col min="12030" max="12030" width="8.8984375" style="1" customWidth="1"/>
    <col min="12031" max="12033" width="8.09765625" style="1" bestFit="1" customWidth="1"/>
    <col min="12034" max="12034" width="9.09765625" style="1" bestFit="1" customWidth="1"/>
    <col min="12035" max="12282" width="7.59765625" style="1"/>
    <col min="12283" max="12283" width="40.5" style="1" customWidth="1"/>
    <col min="12284" max="12284" width="7.59765625" style="1"/>
    <col min="12285" max="12285" width="10.59765625" style="1" bestFit="1" customWidth="1"/>
    <col min="12286" max="12286" width="8.8984375" style="1" customWidth="1"/>
    <col min="12287" max="12289" width="8.09765625" style="1" bestFit="1" customWidth="1"/>
    <col min="12290" max="12290" width="9.09765625" style="1" bestFit="1" customWidth="1"/>
    <col min="12291" max="12538" width="7.59765625" style="1"/>
    <col min="12539" max="12539" width="40.5" style="1" customWidth="1"/>
    <col min="12540" max="12540" width="7.59765625" style="1"/>
    <col min="12541" max="12541" width="10.59765625" style="1" bestFit="1" customWidth="1"/>
    <col min="12542" max="12542" width="8.8984375" style="1" customWidth="1"/>
    <col min="12543" max="12545" width="8.09765625" style="1" bestFit="1" customWidth="1"/>
    <col min="12546" max="12546" width="9.09765625" style="1" bestFit="1" customWidth="1"/>
    <col min="12547" max="12794" width="7.59765625" style="1"/>
    <col min="12795" max="12795" width="40.5" style="1" customWidth="1"/>
    <col min="12796" max="12796" width="7.59765625" style="1"/>
    <col min="12797" max="12797" width="10.59765625" style="1" bestFit="1" customWidth="1"/>
    <col min="12798" max="12798" width="8.8984375" style="1" customWidth="1"/>
    <col min="12799" max="12801" width="8.09765625" style="1" bestFit="1" customWidth="1"/>
    <col min="12802" max="12802" width="9.09765625" style="1" bestFit="1" customWidth="1"/>
    <col min="12803" max="13050" width="7.59765625" style="1"/>
    <col min="13051" max="13051" width="40.5" style="1" customWidth="1"/>
    <col min="13052" max="13052" width="7.59765625" style="1"/>
    <col min="13053" max="13053" width="10.59765625" style="1" bestFit="1" customWidth="1"/>
    <col min="13054" max="13054" width="8.8984375" style="1" customWidth="1"/>
    <col min="13055" max="13057" width="8.09765625" style="1" bestFit="1" customWidth="1"/>
    <col min="13058" max="13058" width="9.09765625" style="1" bestFit="1" customWidth="1"/>
    <col min="13059" max="13306" width="7.59765625" style="1"/>
    <col min="13307" max="13307" width="40.5" style="1" customWidth="1"/>
    <col min="13308" max="13308" width="7.59765625" style="1"/>
    <col min="13309" max="13309" width="10.59765625" style="1" bestFit="1" customWidth="1"/>
    <col min="13310" max="13310" width="8.8984375" style="1" customWidth="1"/>
    <col min="13311" max="13313" width="8.09765625" style="1" bestFit="1" customWidth="1"/>
    <col min="13314" max="13314" width="9.09765625" style="1" bestFit="1" customWidth="1"/>
    <col min="13315" max="13562" width="7.59765625" style="1"/>
    <col min="13563" max="13563" width="40.5" style="1" customWidth="1"/>
    <col min="13564" max="13564" width="7.59765625" style="1"/>
    <col min="13565" max="13565" width="10.59765625" style="1" bestFit="1" customWidth="1"/>
    <col min="13566" max="13566" width="8.8984375" style="1" customWidth="1"/>
    <col min="13567" max="13569" width="8.09765625" style="1" bestFit="1" customWidth="1"/>
    <col min="13570" max="13570" width="9.09765625" style="1" bestFit="1" customWidth="1"/>
    <col min="13571" max="13818" width="7.59765625" style="1"/>
    <col min="13819" max="13819" width="40.5" style="1" customWidth="1"/>
    <col min="13820" max="13820" width="7.59765625" style="1"/>
    <col min="13821" max="13821" width="10.59765625" style="1" bestFit="1" customWidth="1"/>
    <col min="13822" max="13822" width="8.8984375" style="1" customWidth="1"/>
    <col min="13823" max="13825" width="8.09765625" style="1" bestFit="1" customWidth="1"/>
    <col min="13826" max="13826" width="9.09765625" style="1" bestFit="1" customWidth="1"/>
    <col min="13827" max="14074" width="7.59765625" style="1"/>
    <col min="14075" max="14075" width="40.5" style="1" customWidth="1"/>
    <col min="14076" max="14076" width="7.59765625" style="1"/>
    <col min="14077" max="14077" width="10.59765625" style="1" bestFit="1" customWidth="1"/>
    <col min="14078" max="14078" width="8.8984375" style="1" customWidth="1"/>
    <col min="14079" max="14081" width="8.09765625" style="1" bestFit="1" customWidth="1"/>
    <col min="14082" max="14082" width="9.09765625" style="1" bestFit="1" customWidth="1"/>
    <col min="14083" max="14330" width="7.59765625" style="1"/>
    <col min="14331" max="14331" width="40.5" style="1" customWidth="1"/>
    <col min="14332" max="14332" width="7.59765625" style="1"/>
    <col min="14333" max="14333" width="10.59765625" style="1" bestFit="1" customWidth="1"/>
    <col min="14334" max="14334" width="8.8984375" style="1" customWidth="1"/>
    <col min="14335" max="14337" width="8.09765625" style="1" bestFit="1" customWidth="1"/>
    <col min="14338" max="14338" width="9.09765625" style="1" bestFit="1" customWidth="1"/>
    <col min="14339" max="14586" width="7.59765625" style="1"/>
    <col min="14587" max="14587" width="40.5" style="1" customWidth="1"/>
    <col min="14588" max="14588" width="7.59765625" style="1"/>
    <col min="14589" max="14589" width="10.59765625" style="1" bestFit="1" customWidth="1"/>
    <col min="14590" max="14590" width="8.8984375" style="1" customWidth="1"/>
    <col min="14591" max="14593" width="8.09765625" style="1" bestFit="1" customWidth="1"/>
    <col min="14594" max="14594" width="9.09765625" style="1" bestFit="1" customWidth="1"/>
    <col min="14595" max="14842" width="7.59765625" style="1"/>
    <col min="14843" max="14843" width="40.5" style="1" customWidth="1"/>
    <col min="14844" max="14844" width="7.59765625" style="1"/>
    <col min="14845" max="14845" width="10.59765625" style="1" bestFit="1" customWidth="1"/>
    <col min="14846" max="14846" width="8.8984375" style="1" customWidth="1"/>
    <col min="14847" max="14849" width="8.09765625" style="1" bestFit="1" customWidth="1"/>
    <col min="14850" max="14850" width="9.09765625" style="1" bestFit="1" customWidth="1"/>
    <col min="14851" max="15098" width="7.59765625" style="1"/>
    <col min="15099" max="15099" width="40.5" style="1" customWidth="1"/>
    <col min="15100" max="15100" width="7.59765625" style="1"/>
    <col min="15101" max="15101" width="10.59765625" style="1" bestFit="1" customWidth="1"/>
    <col min="15102" max="15102" width="8.8984375" style="1" customWidth="1"/>
    <col min="15103" max="15105" width="8.09765625" style="1" bestFit="1" customWidth="1"/>
    <col min="15106" max="15106" width="9.09765625" style="1" bestFit="1" customWidth="1"/>
    <col min="15107" max="15354" width="7.59765625" style="1"/>
    <col min="15355" max="15355" width="40.5" style="1" customWidth="1"/>
    <col min="15356" max="15356" width="7.59765625" style="1"/>
    <col min="15357" max="15357" width="10.59765625" style="1" bestFit="1" customWidth="1"/>
    <col min="15358" max="15358" width="8.8984375" style="1" customWidth="1"/>
    <col min="15359" max="15361" width="8.09765625" style="1" bestFit="1" customWidth="1"/>
    <col min="15362" max="15362" width="9.09765625" style="1" bestFit="1" customWidth="1"/>
    <col min="15363" max="15610" width="7.59765625" style="1"/>
    <col min="15611" max="15611" width="40.5" style="1" customWidth="1"/>
    <col min="15612" max="15612" width="7.59765625" style="1"/>
    <col min="15613" max="15613" width="10.59765625" style="1" bestFit="1" customWidth="1"/>
    <col min="15614" max="15614" width="8.8984375" style="1" customWidth="1"/>
    <col min="15615" max="15617" width="8.09765625" style="1" bestFit="1" customWidth="1"/>
    <col min="15618" max="15618" width="9.09765625" style="1" bestFit="1" customWidth="1"/>
    <col min="15619" max="15866" width="7.59765625" style="1"/>
    <col min="15867" max="15867" width="40.5" style="1" customWidth="1"/>
    <col min="15868" max="15868" width="7.59765625" style="1"/>
    <col min="15869" max="15869" width="10.59765625" style="1" bestFit="1" customWidth="1"/>
    <col min="15870" max="15870" width="8.8984375" style="1" customWidth="1"/>
    <col min="15871" max="15873" width="8.09765625" style="1" bestFit="1" customWidth="1"/>
    <col min="15874" max="15874" width="9.09765625" style="1" bestFit="1" customWidth="1"/>
    <col min="15875" max="16122" width="7.59765625" style="1"/>
    <col min="16123" max="16123" width="40.5" style="1" customWidth="1"/>
    <col min="16124" max="16124" width="7.59765625" style="1"/>
    <col min="16125" max="16125" width="10.59765625" style="1" bestFit="1" customWidth="1"/>
    <col min="16126" max="16126" width="8.8984375" style="1" customWidth="1"/>
    <col min="16127" max="16129" width="8.09765625" style="1" bestFit="1" customWidth="1"/>
    <col min="16130" max="16130" width="9.09765625" style="1" bestFit="1" customWidth="1"/>
    <col min="16131" max="16384" width="7.59765625" style="1"/>
  </cols>
  <sheetData>
    <row r="1" spans="1:32" ht="24" customHeight="1" thickBot="1" x14ac:dyDescent="0.35">
      <c r="B1" s="71"/>
      <c r="C1" s="314" t="s">
        <v>532</v>
      </c>
      <c r="D1" s="315"/>
      <c r="E1" s="316"/>
      <c r="F1" s="314"/>
      <c r="G1" s="317"/>
      <c r="H1" s="52"/>
      <c r="I1" s="52"/>
      <c r="J1" s="52"/>
      <c r="K1" s="52"/>
    </row>
    <row r="2" spans="1:32" ht="18" customHeight="1" thickTop="1" thickBot="1" x14ac:dyDescent="0.35">
      <c r="B2" s="71"/>
      <c r="C2" s="318" t="s">
        <v>261</v>
      </c>
      <c r="D2" s="29"/>
      <c r="E2" s="30"/>
      <c r="F2" s="30"/>
      <c r="G2" s="31"/>
      <c r="H2" s="72"/>
      <c r="I2" s="72"/>
      <c r="J2" s="319" t="str">
        <f>'1.Initial Parameters'!D4</f>
        <v>EURO</v>
      </c>
      <c r="K2" s="52"/>
    </row>
    <row r="3" spans="1:32" ht="19.2" thickTop="1" thickBot="1" x14ac:dyDescent="0.35">
      <c r="B3" s="71"/>
      <c r="C3" s="33" t="str">
        <f>_xlfn.CONCAT('1.Initial Parameters'!B3," ",J3)</f>
        <v>All values listed are VAT included</v>
      </c>
      <c r="D3" s="29"/>
      <c r="E3" s="30"/>
      <c r="F3" s="30"/>
      <c r="G3" s="31"/>
      <c r="H3" s="72"/>
      <c r="I3" s="72"/>
      <c r="J3" s="32" t="s">
        <v>17</v>
      </c>
      <c r="K3" s="52"/>
    </row>
    <row r="4" spans="1:32" ht="15.6" thickTop="1" thickBot="1" x14ac:dyDescent="0.35">
      <c r="B4" s="71"/>
      <c r="C4" s="320" t="str">
        <f>_xlfn.CONCAT("Total cost for ",DelkaProjektu," ",'1.Initial Parameters'!H8," of operation")</f>
        <v>Total cost for 5 years of operation</v>
      </c>
      <c r="D4" s="321"/>
      <c r="E4" s="322"/>
      <c r="F4" s="323"/>
      <c r="G4" s="323"/>
      <c r="H4" s="323"/>
      <c r="I4" s="323"/>
      <c r="J4" s="323"/>
      <c r="K4" s="13">
        <v>5</v>
      </c>
    </row>
    <row r="5" spans="1:32" s="2" customFormat="1" ht="15.75" customHeight="1" x14ac:dyDescent="0.3">
      <c r="A5" s="3"/>
      <c r="B5" s="14"/>
      <c r="C5" s="15" t="s">
        <v>533</v>
      </c>
      <c r="D5" s="15" t="str">
        <f>JenotkaMěny</f>
        <v>EURO</v>
      </c>
      <c r="E5" s="324"/>
      <c r="F5" s="324"/>
      <c r="G5" s="324"/>
      <c r="H5" s="324"/>
      <c r="I5" s="324"/>
      <c r="J5" s="325">
        <f>J138</f>
        <v>0</v>
      </c>
      <c r="K5" s="15"/>
      <c r="L5" s="36"/>
      <c r="M5" s="36"/>
      <c r="N5" s="36"/>
      <c r="O5" s="36"/>
      <c r="P5" s="38"/>
      <c r="Q5" s="38"/>
      <c r="R5" s="38"/>
      <c r="S5" s="38"/>
      <c r="T5" s="38"/>
      <c r="U5" s="38"/>
      <c r="V5" s="38"/>
      <c r="W5" s="38"/>
      <c r="X5" s="38"/>
      <c r="Y5" s="38"/>
      <c r="Z5" s="38"/>
      <c r="AA5" s="38"/>
      <c r="AB5" s="38"/>
      <c r="AC5" s="38"/>
      <c r="AD5" s="38"/>
      <c r="AE5" s="38"/>
      <c r="AF5" s="38"/>
    </row>
    <row r="6" spans="1:32" s="2" customFormat="1" ht="15.75" customHeight="1" thickBot="1" x14ac:dyDescent="0.35">
      <c r="A6" s="3"/>
      <c r="B6" s="14"/>
      <c r="C6" s="15" t="s">
        <v>534</v>
      </c>
      <c r="D6" s="15" t="str">
        <f>JenotkaMěny</f>
        <v>EURO</v>
      </c>
      <c r="E6" s="324"/>
      <c r="F6" s="324"/>
      <c r="G6" s="324"/>
      <c r="H6" s="324"/>
      <c r="I6" s="324"/>
      <c r="J6" s="325">
        <f>J220</f>
        <v>0</v>
      </c>
      <c r="K6" s="15"/>
      <c r="L6" s="36"/>
      <c r="M6" s="36"/>
      <c r="N6" s="36"/>
      <c r="O6" s="36"/>
      <c r="P6" s="38"/>
      <c r="Q6" s="38"/>
      <c r="R6" s="38"/>
      <c r="S6" s="38"/>
      <c r="T6" s="38"/>
      <c r="U6" s="38"/>
      <c r="V6" s="38"/>
      <c r="W6" s="38"/>
      <c r="X6" s="38"/>
      <c r="Y6" s="38"/>
      <c r="Z6" s="38"/>
      <c r="AA6" s="38"/>
      <c r="AB6" s="38"/>
      <c r="AC6" s="38"/>
      <c r="AD6" s="38"/>
      <c r="AE6" s="38"/>
      <c r="AF6" s="38"/>
    </row>
    <row r="7" spans="1:32" s="2" customFormat="1" ht="24" customHeight="1" thickTop="1" thickBot="1" x14ac:dyDescent="0.35">
      <c r="A7" s="3"/>
      <c r="B7" s="14"/>
      <c r="C7" s="326" t="s">
        <v>799</v>
      </c>
      <c r="D7" s="327" t="str">
        <f>JenotkaMěny</f>
        <v>EURO</v>
      </c>
      <c r="E7" s="328"/>
      <c r="F7" s="328"/>
      <c r="G7" s="328"/>
      <c r="H7" s="328"/>
      <c r="I7" s="328"/>
      <c r="J7" s="329">
        <f>CelkemNakladyCloud-CelkemNakladyOnpremise</f>
        <v>0</v>
      </c>
      <c r="K7" s="15"/>
      <c r="L7" s="36"/>
      <c r="M7" s="36"/>
      <c r="N7" s="36"/>
      <c r="O7" s="36"/>
      <c r="P7" s="38"/>
      <c r="Q7" s="38"/>
      <c r="R7" s="38"/>
      <c r="S7" s="38"/>
      <c r="T7" s="38"/>
      <c r="U7" s="38"/>
      <c r="V7" s="38"/>
      <c r="W7" s="38"/>
      <c r="X7" s="38"/>
      <c r="Y7" s="38"/>
      <c r="Z7" s="38"/>
      <c r="AA7" s="38"/>
      <c r="AB7" s="38"/>
      <c r="AC7" s="38"/>
      <c r="AD7" s="38"/>
      <c r="AE7" s="38"/>
      <c r="AF7" s="38"/>
    </row>
    <row r="8" spans="1:32" s="2" customFormat="1" ht="24" customHeight="1" thickTop="1" thickBot="1" x14ac:dyDescent="0.35">
      <c r="A8" s="3"/>
      <c r="B8" s="14"/>
      <c r="C8" s="330"/>
      <c r="D8" s="330"/>
      <c r="E8" s="331"/>
      <c r="F8" s="331"/>
      <c r="G8" s="331"/>
      <c r="H8" s="331"/>
      <c r="I8" s="331"/>
      <c r="J8" s="332"/>
      <c r="K8" s="15"/>
      <c r="L8" s="36"/>
      <c r="M8" s="36"/>
      <c r="N8" s="36"/>
      <c r="O8" s="36"/>
      <c r="P8" s="38"/>
      <c r="Q8" s="38"/>
      <c r="R8" s="38"/>
      <c r="S8" s="38"/>
      <c r="T8" s="38"/>
      <c r="U8" s="38"/>
      <c r="V8" s="38"/>
      <c r="W8" s="38"/>
      <c r="X8" s="38"/>
      <c r="Y8" s="38"/>
      <c r="Z8" s="38"/>
      <c r="AA8" s="38"/>
      <c r="AB8" s="38"/>
      <c r="AC8" s="38"/>
      <c r="AD8" s="38"/>
      <c r="AE8" s="38"/>
      <c r="AF8" s="38"/>
    </row>
    <row r="9" spans="1:32" s="2" customFormat="1" ht="15.75" customHeight="1" thickBot="1" x14ac:dyDescent="0.35">
      <c r="A9" s="3"/>
      <c r="B9" s="14"/>
      <c r="C9" s="333" t="str">
        <f>_xlfn.CONCAT("Cost per user for ",DelkaProjektu," ",'1.Initial Parameters'!H8," operation")</f>
        <v>Cost per user for 5 years operation</v>
      </c>
      <c r="D9" s="334"/>
      <c r="E9" s="284"/>
      <c r="F9" s="335"/>
      <c r="G9" s="335"/>
      <c r="H9" s="335"/>
      <c r="I9" s="335"/>
      <c r="J9" s="335"/>
      <c r="K9" s="15"/>
      <c r="L9" s="36"/>
      <c r="M9" s="36"/>
      <c r="N9" s="36"/>
      <c r="O9" s="36"/>
      <c r="P9" s="38"/>
      <c r="Q9" s="38"/>
      <c r="R9" s="38"/>
      <c r="S9" s="38"/>
      <c r="T9" s="38"/>
      <c r="U9" s="38"/>
      <c r="V9" s="38"/>
      <c r="W9" s="38"/>
      <c r="X9" s="38"/>
      <c r="Y9" s="38"/>
      <c r="Z9" s="38"/>
      <c r="AA9" s="38"/>
      <c r="AB9" s="38"/>
      <c r="AC9" s="38"/>
      <c r="AD9" s="38"/>
      <c r="AE9" s="38"/>
      <c r="AF9" s="38"/>
    </row>
    <row r="10" spans="1:32" s="2" customFormat="1" ht="15.75" customHeight="1" x14ac:dyDescent="0.3">
      <c r="A10" s="3"/>
      <c r="B10" s="14"/>
      <c r="C10" s="15" t="s">
        <v>535</v>
      </c>
      <c r="D10" s="15" t="str">
        <f>JenotkaMěny</f>
        <v>EURO</v>
      </c>
      <c r="E10" s="324"/>
      <c r="F10" s="324"/>
      <c r="G10" s="324"/>
      <c r="H10" s="324"/>
      <c r="I10" s="324"/>
      <c r="J10" s="325">
        <f>CelkemNakladyOnpremise/PocetUzivatelu</f>
        <v>0</v>
      </c>
      <c r="K10" s="15"/>
      <c r="L10" s="36"/>
      <c r="M10" s="36"/>
      <c r="N10" s="36"/>
      <c r="O10" s="36"/>
      <c r="P10" s="38"/>
      <c r="Q10" s="38"/>
      <c r="R10" s="38"/>
      <c r="S10" s="38"/>
      <c r="T10" s="38"/>
      <c r="U10" s="38"/>
      <c r="V10" s="38"/>
      <c r="W10" s="38"/>
      <c r="X10" s="38"/>
      <c r="Y10" s="38"/>
      <c r="Z10" s="38"/>
      <c r="AA10" s="38"/>
      <c r="AB10" s="38"/>
      <c r="AC10" s="38"/>
      <c r="AD10" s="38"/>
      <c r="AE10" s="38"/>
      <c r="AF10" s="38"/>
    </row>
    <row r="11" spans="1:32" s="2" customFormat="1" ht="15.75" customHeight="1" thickBot="1" x14ac:dyDescent="0.35">
      <c r="A11" s="3"/>
      <c r="B11" s="14"/>
      <c r="C11" s="15" t="s">
        <v>534</v>
      </c>
      <c r="D11" s="15" t="str">
        <f>JenotkaMěny</f>
        <v>EURO</v>
      </c>
      <c r="E11" s="324"/>
      <c r="F11" s="324"/>
      <c r="G11" s="324"/>
      <c r="H11" s="324"/>
      <c r="I11" s="324"/>
      <c r="J11" s="325">
        <f>CelkemNakladyCloud/PocetUzivatelu</f>
        <v>0</v>
      </c>
      <c r="K11" s="15"/>
      <c r="L11" s="36"/>
      <c r="M11" s="36"/>
      <c r="N11" s="36"/>
      <c r="O11" s="36"/>
      <c r="P11" s="38"/>
      <c r="Q11" s="38"/>
      <c r="R11" s="38"/>
      <c r="S11" s="38"/>
      <c r="T11" s="38"/>
      <c r="U11" s="38"/>
      <c r="V11" s="38"/>
      <c r="W11" s="38"/>
      <c r="X11" s="38"/>
      <c r="Y11" s="38"/>
      <c r="Z11" s="38"/>
      <c r="AA11" s="38"/>
      <c r="AB11" s="38"/>
      <c r="AC11" s="38"/>
      <c r="AD11" s="38"/>
      <c r="AE11" s="38"/>
      <c r="AF11" s="38"/>
    </row>
    <row r="12" spans="1:32" s="2" customFormat="1" ht="24" customHeight="1" thickTop="1" thickBot="1" x14ac:dyDescent="0.35">
      <c r="A12" s="3"/>
      <c r="B12" s="14"/>
      <c r="C12" s="326" t="s">
        <v>799</v>
      </c>
      <c r="D12" s="327" t="str">
        <f>JenotkaMěny</f>
        <v>EURO</v>
      </c>
      <c r="E12" s="328"/>
      <c r="F12" s="328"/>
      <c r="G12" s="328"/>
      <c r="H12" s="328"/>
      <c r="I12" s="328"/>
      <c r="J12" s="329">
        <f>J11-J10</f>
        <v>0</v>
      </c>
      <c r="K12" s="15"/>
      <c r="L12" s="36"/>
      <c r="M12" s="36"/>
      <c r="N12" s="36"/>
      <c r="O12" s="36"/>
      <c r="P12" s="38"/>
      <c r="Q12" s="38"/>
      <c r="R12" s="38"/>
      <c r="S12" s="38"/>
      <c r="T12" s="38"/>
      <c r="U12" s="38"/>
      <c r="V12" s="38"/>
      <c r="W12" s="38"/>
      <c r="X12" s="38"/>
      <c r="Y12" s="38"/>
      <c r="Z12" s="38"/>
      <c r="AA12" s="38"/>
      <c r="AB12" s="38"/>
      <c r="AC12" s="38"/>
      <c r="AD12" s="38"/>
      <c r="AE12" s="38"/>
      <c r="AF12" s="38"/>
    </row>
    <row r="13" spans="1:32" s="2" customFormat="1" ht="24" customHeight="1" thickTop="1" thickBot="1" x14ac:dyDescent="0.35">
      <c r="A13" s="3"/>
      <c r="B13" s="14"/>
      <c r="C13" s="336"/>
      <c r="D13" s="336"/>
      <c r="E13" s="337"/>
      <c r="F13" s="337"/>
      <c r="G13" s="337"/>
      <c r="H13" s="337"/>
      <c r="I13" s="337"/>
      <c r="J13" s="338"/>
      <c r="K13" s="15"/>
      <c r="L13" s="36"/>
      <c r="M13" s="36"/>
      <c r="N13" s="36"/>
      <c r="O13" s="36"/>
      <c r="P13" s="38"/>
      <c r="Q13" s="38"/>
      <c r="R13" s="38"/>
      <c r="S13" s="38"/>
      <c r="T13" s="38"/>
      <c r="U13" s="38"/>
      <c r="V13" s="38"/>
      <c r="W13" s="38"/>
      <c r="X13" s="38"/>
      <c r="Y13" s="38"/>
      <c r="Z13" s="38"/>
      <c r="AA13" s="38"/>
      <c r="AB13" s="38"/>
      <c r="AC13" s="38"/>
      <c r="AD13" s="38"/>
      <c r="AE13" s="38"/>
      <c r="AF13" s="38"/>
    </row>
    <row r="14" spans="1:32" s="2" customFormat="1" ht="24" customHeight="1" thickBot="1" x14ac:dyDescent="0.35">
      <c r="A14" s="3"/>
      <c r="B14" s="14"/>
      <c r="C14" s="333" t="s">
        <v>536</v>
      </c>
      <c r="D14" s="334"/>
      <c r="E14" s="339" t="s">
        <v>537</v>
      </c>
      <c r="F14" s="339" t="s">
        <v>538</v>
      </c>
      <c r="G14" s="335"/>
      <c r="H14" s="335"/>
      <c r="I14" s="335"/>
      <c r="J14" s="335"/>
      <c r="K14" s="15"/>
      <c r="L14" s="36"/>
      <c r="M14" s="36"/>
      <c r="N14" s="36"/>
      <c r="O14" s="36"/>
      <c r="P14" s="38"/>
      <c r="Q14" s="38"/>
      <c r="R14" s="38"/>
      <c r="S14" s="38"/>
      <c r="T14" s="38"/>
      <c r="U14" s="38"/>
      <c r="V14" s="38"/>
      <c r="W14" s="38"/>
      <c r="X14" s="38"/>
      <c r="Y14" s="38"/>
      <c r="Z14" s="38"/>
      <c r="AA14" s="38"/>
      <c r="AB14" s="38"/>
      <c r="AC14" s="38"/>
      <c r="AD14" s="38"/>
      <c r="AE14" s="38"/>
      <c r="AF14" s="38"/>
    </row>
    <row r="15" spans="1:32" s="2" customFormat="1" ht="21.6" customHeight="1" x14ac:dyDescent="0.3">
      <c r="A15" s="3"/>
      <c r="B15" s="14"/>
      <c r="C15" s="340" t="s">
        <v>539</v>
      </c>
      <c r="D15" s="341" t="str">
        <f>'1.Initial Parameters'!$D$36</f>
        <v>Number of MD</v>
      </c>
      <c r="E15" s="342">
        <v>1</v>
      </c>
      <c r="F15" s="343"/>
      <c r="G15" s="344"/>
      <c r="H15" s="344"/>
      <c r="I15" s="344"/>
      <c r="J15" s="16">
        <f>('2. Input Data On-Premise '!C301+'2. Input Data On-Premise '!D301+'2. Input Data On-Premise '!F301)/8</f>
        <v>0</v>
      </c>
      <c r="K15" s="15"/>
      <c r="L15" s="36"/>
      <c r="M15" s="36"/>
      <c r="N15" s="36"/>
      <c r="O15" s="36"/>
      <c r="P15" s="38"/>
      <c r="Q15" s="38"/>
      <c r="R15" s="38"/>
      <c r="S15" s="38"/>
      <c r="T15" s="38"/>
      <c r="U15" s="38"/>
      <c r="V15" s="38"/>
      <c r="W15" s="38"/>
      <c r="X15" s="38"/>
      <c r="Y15" s="38"/>
      <c r="Z15" s="38"/>
      <c r="AA15" s="38"/>
      <c r="AB15" s="38"/>
      <c r="AC15" s="38"/>
      <c r="AD15" s="38"/>
      <c r="AE15" s="38"/>
      <c r="AF15" s="38"/>
    </row>
    <row r="16" spans="1:32" s="2" customFormat="1" ht="21.6" customHeight="1" x14ac:dyDescent="0.3">
      <c r="A16" s="3"/>
      <c r="B16" s="14"/>
      <c r="C16" s="340" t="s">
        <v>540</v>
      </c>
      <c r="D16" s="341" t="str">
        <f>'1.Initial Parameters'!$D$36</f>
        <v>Number of MD</v>
      </c>
      <c r="E16" s="345"/>
      <c r="F16" s="342">
        <f>DelkaProjektu</f>
        <v>5</v>
      </c>
      <c r="G16" s="344"/>
      <c r="H16" s="344"/>
      <c r="I16" s="344"/>
      <c r="J16" s="16">
        <f>((('2. Input Data On-Premise '!C294+'2. Input Data On-Premise '!D294+'2. Input Data On-Premise '!F294)/8)*'4.TCO Calculation &amp; Comparsion'!F16)</f>
        <v>0</v>
      </c>
      <c r="K16" s="15"/>
      <c r="L16" s="36"/>
      <c r="M16" s="36"/>
      <c r="N16" s="36" t="s">
        <v>162</v>
      </c>
      <c r="O16" s="36"/>
      <c r="P16" s="38"/>
      <c r="Q16" s="38"/>
      <c r="R16" s="38"/>
      <c r="S16" s="38"/>
      <c r="T16" s="38"/>
      <c r="U16" s="38"/>
      <c r="V16" s="38"/>
      <c r="W16" s="38"/>
      <c r="X16" s="38"/>
      <c r="Y16" s="38"/>
      <c r="Z16" s="38"/>
      <c r="AA16" s="38"/>
      <c r="AB16" s="38"/>
      <c r="AC16" s="38"/>
      <c r="AD16" s="38"/>
      <c r="AE16" s="38"/>
      <c r="AF16" s="38"/>
    </row>
    <row r="17" spans="1:32" s="2" customFormat="1" ht="21.6" customHeight="1" x14ac:dyDescent="0.3">
      <c r="A17" s="3"/>
      <c r="B17" s="14"/>
      <c r="C17" s="340" t="s">
        <v>541</v>
      </c>
      <c r="D17" s="341" t="str">
        <f>'1.Initial Parameters'!$D$36</f>
        <v>Number of MD</v>
      </c>
      <c r="E17" s="342">
        <v>1</v>
      </c>
      <c r="F17" s="343"/>
      <c r="G17" s="344"/>
      <c r="H17" s="344"/>
      <c r="I17" s="344"/>
      <c r="J17" s="16">
        <f>('3. Input Data Cloud'!C199+'3. Input Data Cloud'!D199+'3. Input Data Cloud'!F199)/8</f>
        <v>0</v>
      </c>
      <c r="K17" s="15"/>
      <c r="L17" s="36"/>
      <c r="M17" s="36"/>
      <c r="N17" s="36" t="s">
        <v>163</v>
      </c>
      <c r="O17" s="36"/>
      <c r="P17" s="38"/>
      <c r="Q17" s="38"/>
      <c r="R17" s="38"/>
      <c r="S17" s="38"/>
      <c r="T17" s="38"/>
      <c r="U17" s="38"/>
      <c r="V17" s="38"/>
      <c r="W17" s="38"/>
      <c r="X17" s="38"/>
      <c r="Y17" s="38"/>
      <c r="Z17" s="38"/>
      <c r="AA17" s="38"/>
      <c r="AB17" s="38"/>
      <c r="AC17" s="38"/>
      <c r="AD17" s="38"/>
      <c r="AE17" s="38"/>
      <c r="AF17" s="38"/>
    </row>
    <row r="18" spans="1:32" s="2" customFormat="1" ht="21.6" customHeight="1" thickBot="1" x14ac:dyDescent="0.35">
      <c r="A18" s="3"/>
      <c r="B18" s="14"/>
      <c r="C18" s="340" t="s">
        <v>542</v>
      </c>
      <c r="D18" s="341" t="str">
        <f>'1.Initial Parameters'!$D$36</f>
        <v>Number of MD</v>
      </c>
      <c r="E18" s="345"/>
      <c r="F18" s="342">
        <f>DelkaProjektu</f>
        <v>5</v>
      </c>
      <c r="G18" s="344"/>
      <c r="H18" s="344"/>
      <c r="I18" s="344"/>
      <c r="J18" s="16">
        <f>((('3. Input Data Cloud'!C192+'3. Input Data Cloud'!D192+'3. Input Data Cloud'!F192)/8)*'4.TCO Calculation &amp; Comparsion'!F18)</f>
        <v>0</v>
      </c>
      <c r="K18" s="15"/>
      <c r="L18" s="36"/>
      <c r="M18" s="36"/>
      <c r="N18" s="36"/>
      <c r="O18" s="36"/>
      <c r="P18" s="38"/>
      <c r="Q18" s="38"/>
      <c r="R18" s="38"/>
      <c r="S18" s="38"/>
      <c r="T18" s="38"/>
      <c r="U18" s="38"/>
      <c r="V18" s="38"/>
      <c r="W18" s="38"/>
      <c r="X18" s="38"/>
      <c r="Y18" s="38"/>
      <c r="Z18" s="38"/>
      <c r="AA18" s="38"/>
      <c r="AB18" s="38"/>
      <c r="AC18" s="38"/>
      <c r="AD18" s="38"/>
      <c r="AE18" s="38"/>
      <c r="AF18" s="38"/>
    </row>
    <row r="19" spans="1:32" s="2" customFormat="1" ht="17.399999999999999" customHeight="1" thickTop="1" thickBot="1" x14ac:dyDescent="0.35">
      <c r="A19" s="3"/>
      <c r="B19" s="14"/>
      <c r="C19" s="346" t="s">
        <v>800</v>
      </c>
      <c r="D19" s="347" t="str">
        <f>'1.Initial Parameters'!$D$36</f>
        <v>Number of MD</v>
      </c>
      <c r="E19" s="347"/>
      <c r="F19" s="348"/>
      <c r="G19" s="349"/>
      <c r="H19" s="349"/>
      <c r="I19" s="349"/>
      <c r="J19" s="86">
        <f>J17-J15</f>
        <v>0</v>
      </c>
      <c r="K19" s="15"/>
      <c r="L19" s="36"/>
      <c r="M19" s="36"/>
      <c r="N19" s="36"/>
      <c r="O19" s="36"/>
      <c r="P19" s="38"/>
      <c r="Q19" s="38"/>
      <c r="R19" s="38"/>
      <c r="S19" s="38"/>
      <c r="T19" s="38"/>
      <c r="U19" s="38"/>
      <c r="V19" s="38"/>
      <c r="W19" s="38"/>
      <c r="X19" s="38"/>
      <c r="Y19" s="38"/>
      <c r="Z19" s="38"/>
      <c r="AA19" s="38"/>
      <c r="AB19" s="38"/>
      <c r="AC19" s="38"/>
      <c r="AD19" s="38"/>
      <c r="AE19" s="38"/>
      <c r="AF19" s="38"/>
    </row>
    <row r="20" spans="1:32" s="2" customFormat="1" ht="17.399999999999999" customHeight="1" thickTop="1" thickBot="1" x14ac:dyDescent="0.35">
      <c r="A20" s="3"/>
      <c r="B20" s="14"/>
      <c r="C20" s="346" t="s">
        <v>800</v>
      </c>
      <c r="D20" s="350" t="str">
        <f>'1.Initial Parameters'!$D$36</f>
        <v>Number of MD</v>
      </c>
      <c r="E20" s="350"/>
      <c r="F20" s="351"/>
      <c r="G20" s="352"/>
      <c r="H20" s="352"/>
      <c r="I20" s="352"/>
      <c r="J20" s="86">
        <f>J18-J16</f>
        <v>0</v>
      </c>
      <c r="K20" s="15"/>
      <c r="L20" s="36"/>
      <c r="M20" s="36"/>
      <c r="N20" s="36"/>
      <c r="O20" s="36"/>
      <c r="P20" s="38"/>
      <c r="Q20" s="38"/>
      <c r="R20" s="38"/>
      <c r="S20" s="38"/>
      <c r="T20" s="38"/>
      <c r="U20" s="38"/>
      <c r="V20" s="38"/>
      <c r="W20" s="38"/>
      <c r="X20" s="38"/>
      <c r="Y20" s="38"/>
      <c r="Z20" s="38"/>
      <c r="AA20" s="38"/>
      <c r="AB20" s="38"/>
      <c r="AC20" s="38"/>
      <c r="AD20" s="38"/>
      <c r="AE20" s="38"/>
      <c r="AF20" s="38"/>
    </row>
    <row r="21" spans="1:32" s="2" customFormat="1" ht="15.75" customHeight="1" thickTop="1" x14ac:dyDescent="0.3">
      <c r="A21" s="3"/>
      <c r="B21" s="14"/>
      <c r="C21" s="353"/>
      <c r="D21" s="354"/>
      <c r="E21" s="355"/>
      <c r="F21" s="356"/>
      <c r="G21" s="357"/>
      <c r="H21" s="357"/>
      <c r="I21" s="357"/>
      <c r="J21" s="17"/>
      <c r="K21" s="15"/>
      <c r="L21" s="36"/>
      <c r="M21" s="36"/>
      <c r="N21" s="36"/>
      <c r="O21" s="36"/>
      <c r="P21" s="38"/>
      <c r="Q21" s="38"/>
      <c r="R21" s="38"/>
      <c r="S21" s="38"/>
      <c r="T21" s="38"/>
      <c r="U21" s="38"/>
      <c r="V21" s="38"/>
      <c r="W21" s="38"/>
      <c r="X21" s="38"/>
      <c r="Y21" s="38"/>
      <c r="Z21" s="38"/>
      <c r="AA21" s="38"/>
      <c r="AB21" s="38"/>
      <c r="AC21" s="38"/>
      <c r="AD21" s="38"/>
      <c r="AE21" s="38"/>
      <c r="AF21" s="38"/>
    </row>
    <row r="22" spans="1:32" s="2" customFormat="1" ht="24" customHeight="1" x14ac:dyDescent="0.3">
      <c r="A22" s="3"/>
      <c r="B22" s="14"/>
      <c r="C22" s="330"/>
      <c r="D22" s="330"/>
      <c r="E22" s="331"/>
      <c r="F22" s="331"/>
      <c r="G22" s="331"/>
      <c r="H22" s="331"/>
      <c r="I22" s="331"/>
      <c r="J22" s="332"/>
      <c r="K22" s="15"/>
      <c r="L22" s="36"/>
      <c r="M22" s="36"/>
      <c r="N22" s="36"/>
      <c r="O22" s="36"/>
      <c r="P22" s="38"/>
      <c r="Q22" s="38"/>
      <c r="R22" s="38"/>
      <c r="S22" s="38"/>
      <c r="T22" s="38"/>
      <c r="U22" s="38"/>
      <c r="V22" s="38"/>
      <c r="W22" s="38"/>
      <c r="X22" s="38"/>
      <c r="Y22" s="38"/>
      <c r="Z22" s="38"/>
      <c r="AA22" s="38"/>
      <c r="AB22" s="38"/>
      <c r="AC22" s="38"/>
      <c r="AD22" s="38"/>
      <c r="AE22" s="38"/>
      <c r="AF22" s="38"/>
    </row>
    <row r="23" spans="1:32" s="2" customFormat="1" ht="201" customHeight="1" x14ac:dyDescent="0.3">
      <c r="A23" s="3"/>
      <c r="B23" s="14"/>
      <c r="C23" s="330"/>
      <c r="D23" s="330"/>
      <c r="E23" s="331"/>
      <c r="F23" s="331"/>
      <c r="G23" s="331"/>
      <c r="H23" s="331"/>
      <c r="I23" s="331"/>
      <c r="J23" s="332"/>
      <c r="K23" s="15"/>
      <c r="L23" s="36"/>
      <c r="M23" s="36"/>
      <c r="N23" s="36"/>
      <c r="O23" s="36"/>
      <c r="P23" s="38"/>
      <c r="Q23" s="38"/>
      <c r="R23" s="38"/>
      <c r="S23" s="38"/>
      <c r="T23" s="38"/>
      <c r="U23" s="38"/>
      <c r="V23" s="38"/>
      <c r="W23" s="38"/>
      <c r="X23" s="38"/>
      <c r="Y23" s="38"/>
      <c r="Z23" s="38"/>
      <c r="AA23" s="38"/>
      <c r="AB23" s="38"/>
      <c r="AC23" s="38"/>
      <c r="AD23" s="38"/>
      <c r="AE23" s="38"/>
      <c r="AF23" s="38"/>
    </row>
    <row r="24" spans="1:32" s="2" customFormat="1" ht="9.75" customHeight="1" x14ac:dyDescent="0.3">
      <c r="A24" s="3"/>
      <c r="B24" s="14"/>
      <c r="C24" s="330"/>
      <c r="D24" s="330"/>
      <c r="E24" s="331"/>
      <c r="F24" s="331"/>
      <c r="G24" s="331"/>
      <c r="H24" s="331"/>
      <c r="I24" s="331"/>
      <c r="J24" s="332"/>
      <c r="K24" s="15"/>
      <c r="L24" s="36"/>
      <c r="M24" s="36"/>
      <c r="N24" s="36"/>
      <c r="O24" s="36"/>
      <c r="P24" s="38"/>
      <c r="Q24" s="38"/>
      <c r="R24" s="38"/>
      <c r="S24" s="38"/>
      <c r="T24" s="38"/>
      <c r="U24" s="38"/>
      <c r="V24" s="38"/>
      <c r="W24" s="38"/>
      <c r="X24" s="38"/>
      <c r="Y24" s="38"/>
      <c r="Z24" s="38"/>
      <c r="AA24" s="38"/>
      <c r="AB24" s="38"/>
      <c r="AC24" s="38"/>
      <c r="AD24" s="38"/>
      <c r="AE24" s="38"/>
      <c r="AF24" s="38"/>
    </row>
    <row r="25" spans="1:32" s="2" customFormat="1" ht="257.25" customHeight="1" x14ac:dyDescent="0.3">
      <c r="A25" s="3"/>
      <c r="B25" s="14"/>
      <c r="C25" s="330"/>
      <c r="D25" s="330"/>
      <c r="E25" s="331"/>
      <c r="F25" s="331"/>
      <c r="G25" s="331"/>
      <c r="H25" s="331"/>
      <c r="I25" s="331"/>
      <c r="J25" s="332"/>
      <c r="K25" s="15"/>
      <c r="L25" s="36"/>
      <c r="M25" s="36"/>
      <c r="N25" s="36"/>
      <c r="O25" s="36"/>
      <c r="P25" s="38"/>
      <c r="Q25" s="38"/>
      <c r="R25" s="38"/>
      <c r="S25" s="38"/>
      <c r="T25" s="38"/>
      <c r="U25" s="38"/>
      <c r="V25" s="38"/>
      <c r="W25" s="38"/>
      <c r="X25" s="38"/>
      <c r="Y25" s="38"/>
      <c r="Z25" s="38"/>
      <c r="AA25" s="38"/>
      <c r="AB25" s="38"/>
      <c r="AC25" s="38"/>
      <c r="AD25" s="38"/>
      <c r="AE25" s="38"/>
      <c r="AF25" s="38"/>
    </row>
    <row r="26" spans="1:32" s="2" customFormat="1" ht="12" customHeight="1" x14ac:dyDescent="0.3">
      <c r="A26" s="3"/>
      <c r="B26" s="14"/>
      <c r="C26" s="330"/>
      <c r="D26" s="330"/>
      <c r="E26" s="331"/>
      <c r="F26" s="331"/>
      <c r="G26" s="331"/>
      <c r="H26" s="331"/>
      <c r="I26" s="331"/>
      <c r="J26" s="332"/>
      <c r="K26" s="15"/>
      <c r="L26" s="36"/>
      <c r="M26" s="36"/>
      <c r="N26" s="46"/>
      <c r="O26" s="36"/>
      <c r="P26" s="38"/>
      <c r="Q26" s="38"/>
      <c r="R26" s="38"/>
      <c r="S26" s="38"/>
      <c r="T26" s="38"/>
      <c r="U26" s="38"/>
      <c r="V26" s="38"/>
      <c r="W26" s="38"/>
      <c r="X26" s="38"/>
      <c r="Y26" s="38"/>
      <c r="Z26" s="38"/>
      <c r="AA26" s="38"/>
      <c r="AB26" s="38"/>
      <c r="AC26" s="38"/>
      <c r="AD26" s="38"/>
      <c r="AE26" s="38"/>
      <c r="AF26" s="38"/>
    </row>
    <row r="27" spans="1:32" ht="28.5" customHeight="1" thickBot="1" x14ac:dyDescent="0.35">
      <c r="B27" s="85"/>
      <c r="C27" s="358" t="s">
        <v>543</v>
      </c>
      <c r="D27" s="359"/>
      <c r="E27" s="360">
        <v>1</v>
      </c>
      <c r="F27" s="360">
        <v>2</v>
      </c>
      <c r="G27" s="360">
        <v>3</v>
      </c>
      <c r="H27" s="360">
        <v>4</v>
      </c>
      <c r="I27" s="360">
        <v>5</v>
      </c>
      <c r="J27" s="361" t="s">
        <v>522</v>
      </c>
      <c r="K27" s="52"/>
      <c r="N27" s="53"/>
    </row>
    <row r="28" spans="1:32" x14ac:dyDescent="0.3">
      <c r="B28" s="18" t="s">
        <v>164</v>
      </c>
      <c r="C28" s="362" t="s">
        <v>544</v>
      </c>
      <c r="D28" s="362" t="str">
        <f t="shared" ref="D28:D59" si="0">JenotkaMěny</f>
        <v>EURO</v>
      </c>
      <c r="E28" s="363">
        <f>SUM(E29:E30)</f>
        <v>0</v>
      </c>
      <c r="F28" s="363">
        <f t="shared" ref="F28:G28" si="1">SUM(F29:F30)</f>
        <v>0</v>
      </c>
      <c r="G28" s="363">
        <f t="shared" si="1"/>
        <v>0</v>
      </c>
      <c r="H28" s="363">
        <f>SUM(H29:H30)</f>
        <v>0</v>
      </c>
      <c r="I28" s="363">
        <f>SUM(I29:I30)</f>
        <v>0</v>
      </c>
      <c r="J28" s="363">
        <f>SUM(E28:I28)</f>
        <v>0</v>
      </c>
      <c r="K28" s="52"/>
      <c r="L28" s="37" t="s">
        <v>165</v>
      </c>
      <c r="N28" s="53"/>
    </row>
    <row r="29" spans="1:32" x14ac:dyDescent="0.3">
      <c r="B29" s="19" t="s">
        <v>112</v>
      </c>
      <c r="C29" s="364" t="s">
        <v>545</v>
      </c>
      <c r="D29" s="364" t="str">
        <f t="shared" si="0"/>
        <v>EURO</v>
      </c>
      <c r="E29" s="365">
        <f>IF('2. Input Data On-Premise '!$D$173="YES",'2. Input Data On-Premise '!$L$167+'2. Input Data On-Premise '!$L$168,IF('2. Input Data On-Premise '!$D$173="NO",IF(DelkaProjektu&gt;=E$27,('2. Input Data On-Premise '!$L$167+'2. Input Data On-Premise '!$L$168)/DelkaProjektu,)))</f>
        <v>0</v>
      </c>
      <c r="F29" s="365">
        <f>IF('2. Input Data On-Premise '!$D$173="YES",0,IF('2. Input Data On-Premise '!$D$173="NO",IF(DelkaProjektu&gt;=F$27,('2. Input Data On-Premise '!$L$167+'2. Input Data On-Premise '!$L$168)/DelkaProjektu,)))</f>
        <v>0</v>
      </c>
      <c r="G29" s="365">
        <f>IF('2. Input Data On-Premise '!$D$173="YES",0,IF('2. Input Data On-Premise '!$D$173="NO",IF(DelkaProjektu&gt;=G$27,('2. Input Data On-Premise '!$L$167+'2. Input Data On-Premise '!$L$168)/DelkaProjektu,)))</f>
        <v>0</v>
      </c>
      <c r="H29" s="365">
        <f>IF('2. Input Data On-Premise '!$D$173="YES",0,IF('2. Input Data On-Premise '!$D$173="NO",IF(DelkaProjektu&gt;=H$27,('2. Input Data On-Premise '!$L$167+'2. Input Data On-Premise '!$L$168)/DelkaProjektu,)))</f>
        <v>0</v>
      </c>
      <c r="I29" s="365">
        <f>IF('2. Input Data On-Premise '!$D$173="YES",0,IF('2. Input Data On-Premise '!$D$173="NO",IF(DelkaProjektu&gt;=I$27,('2. Input Data On-Premise '!$L$167+'2. Input Data On-Premise '!$L$168)/DelkaProjektu,)))</f>
        <v>0</v>
      </c>
      <c r="J29" s="366">
        <f>SUM(E29:I29)</f>
        <v>0</v>
      </c>
      <c r="K29" s="52"/>
      <c r="L29" s="37" t="s">
        <v>165</v>
      </c>
      <c r="N29" s="53" t="s">
        <v>166</v>
      </c>
      <c r="P29" s="35" t="s">
        <v>167</v>
      </c>
    </row>
    <row r="30" spans="1:32" x14ac:dyDescent="0.3">
      <c r="B30" s="19" t="s">
        <v>114</v>
      </c>
      <c r="C30" s="364" t="s">
        <v>546</v>
      </c>
      <c r="D30" s="364" t="str">
        <f t="shared" si="0"/>
        <v>EURO</v>
      </c>
      <c r="E30" s="365">
        <f>IF('2. Input Data On-Premise '!$D$173="YES",'2. Input Data On-Premise '!$L$169+'2. Input Data On-Premise '!$L$170,IF('2. Input Data On-Premise '!$D$173="NO",IF(DelkaProjektu&gt;=E$27,('2. Input Data On-Premise '!$L$169+'2. Input Data On-Premise '!$L$170)/DelkaProjektu,)))</f>
        <v>0</v>
      </c>
      <c r="F30" s="365">
        <f>IF('2. Input Data On-Premise '!$D$173="YES",0,IF('2. Input Data On-Premise '!$D$173="NO",IF(DelkaProjektu&gt;=F$27,('2. Input Data On-Premise '!$L$169+'2. Input Data On-Premise '!$L$170)/DelkaProjektu,)))</f>
        <v>0</v>
      </c>
      <c r="G30" s="365">
        <f>IF('2. Input Data On-Premise '!$D$173="YES",0,IF('2. Input Data On-Premise '!$D$173="NO",IF(DelkaProjektu&gt;=G$27,('2. Input Data On-Premise '!$L$169+'2. Input Data On-Premise '!$L$170)/DelkaProjektu,)))</f>
        <v>0</v>
      </c>
      <c r="H30" s="365">
        <f>IF('2. Input Data On-Premise '!$D$173="YES",0,IF('2. Input Data On-Premise '!$D$173="NO",IF(DelkaProjektu&gt;=H$27,('2. Input Data On-Premise '!$L$169+'2. Input Data On-Premise '!$L$170)/DelkaProjektu,)))</f>
        <v>0</v>
      </c>
      <c r="I30" s="365">
        <f>IF('2. Input Data On-Premise '!$D$173="YES",0,IF('2. Input Data On-Premise '!$D$173="NO",IF(DelkaProjektu&gt;=I$27,('2. Input Data On-Premise '!$L$169+'2. Input Data On-Premise '!$L$170)/DelkaProjektu,)))</f>
        <v>0</v>
      </c>
      <c r="J30" s="366">
        <f>SUM(E30:I30)</f>
        <v>0</v>
      </c>
      <c r="K30" s="52"/>
      <c r="L30" s="73" t="s">
        <v>165</v>
      </c>
      <c r="N30" s="53" t="s">
        <v>166</v>
      </c>
    </row>
    <row r="31" spans="1:32" x14ac:dyDescent="0.3">
      <c r="B31" s="47" t="s">
        <v>168</v>
      </c>
      <c r="C31" s="367" t="s">
        <v>579</v>
      </c>
      <c r="D31" s="367" t="str">
        <f t="shared" si="0"/>
        <v>EURO</v>
      </c>
      <c r="E31" s="368">
        <f t="shared" ref="E31:J31" si="2">E32+E36+E40+E44+E45+E49+E52</f>
        <v>0</v>
      </c>
      <c r="F31" s="368">
        <f t="shared" si="2"/>
        <v>0</v>
      </c>
      <c r="G31" s="368">
        <f t="shared" si="2"/>
        <v>0</v>
      </c>
      <c r="H31" s="368">
        <f t="shared" si="2"/>
        <v>0</v>
      </c>
      <c r="I31" s="368">
        <f t="shared" si="2"/>
        <v>0</v>
      </c>
      <c r="J31" s="368">
        <f t="shared" si="2"/>
        <v>0</v>
      </c>
      <c r="K31" s="52"/>
      <c r="L31" s="73" t="s">
        <v>165</v>
      </c>
      <c r="N31" s="53"/>
    </row>
    <row r="32" spans="1:32" x14ac:dyDescent="0.3">
      <c r="B32" s="19" t="s">
        <v>169</v>
      </c>
      <c r="C32" s="364" t="s">
        <v>374</v>
      </c>
      <c r="D32" s="364" t="str">
        <f t="shared" si="0"/>
        <v>EURO</v>
      </c>
      <c r="E32" s="365">
        <f t="shared" ref="E32:J32" si="3">SUM(E33:E35)</f>
        <v>0</v>
      </c>
      <c r="F32" s="365">
        <f t="shared" si="3"/>
        <v>0</v>
      </c>
      <c r="G32" s="365">
        <f t="shared" si="3"/>
        <v>0</v>
      </c>
      <c r="H32" s="365">
        <f t="shared" si="3"/>
        <v>0</v>
      </c>
      <c r="I32" s="365">
        <f t="shared" si="3"/>
        <v>0</v>
      </c>
      <c r="J32" s="366">
        <f t="shared" si="3"/>
        <v>0</v>
      </c>
      <c r="K32" s="52"/>
      <c r="L32" s="73" t="s">
        <v>165</v>
      </c>
      <c r="N32" s="53" t="s">
        <v>170</v>
      </c>
    </row>
    <row r="33" spans="2:15" outlineLevel="1" x14ac:dyDescent="0.3">
      <c r="B33" s="20" t="s">
        <v>79</v>
      </c>
      <c r="C33" s="290" t="s">
        <v>375</v>
      </c>
      <c r="D33" s="290" t="str">
        <f t="shared" si="0"/>
        <v>EURO</v>
      </c>
      <c r="E33" s="369">
        <f>IF('2. Input Data On-Premise '!$D107="YES",'2. Input Data On-Premise '!$L107,IF('2. Input Data On-Premise '!$D107="NO",IF(DelkaProjektu&gt;=E$27,'2. Input Data On-Premise '!$L107/DelkaProjektu,0)))</f>
        <v>0</v>
      </c>
      <c r="F33" s="369">
        <f>IF('2. Input Data On-Premise '!$D107="YES",0,IF('2. Input Data On-Premise '!$D107="NO",IF(DelkaProjektu&gt;=F$27,'2. Input Data On-Premise '!$L107/DelkaProjektu,0)))</f>
        <v>0</v>
      </c>
      <c r="G33" s="369">
        <f>IF('2. Input Data On-Premise '!$D107="YES",0,IF('2. Input Data On-Premise '!$D107="NO",IF(DelkaProjektu&gt;=G$27,'2. Input Data On-Premise '!$L107/DelkaProjektu,0)))</f>
        <v>0</v>
      </c>
      <c r="H33" s="369">
        <f>IF('2. Input Data On-Premise '!$D107="YES",0,IF('2. Input Data On-Premise '!$D107="NO",IF(DelkaProjektu&gt;=H$27,'2. Input Data On-Premise '!$L107/DelkaProjektu,0)))</f>
        <v>0</v>
      </c>
      <c r="I33" s="369">
        <f>IF('2. Input Data On-Premise '!$D107="YES",0,IF('2. Input Data On-Premise '!$D107="NO",IF(DelkaProjektu&gt;=I$27,'2. Input Data On-Premise '!$L107/DelkaProjektu,0)))</f>
        <v>0</v>
      </c>
      <c r="J33" s="370">
        <f>SUM(E33:I33)</f>
        <v>0</v>
      </c>
      <c r="K33" s="52"/>
      <c r="L33" s="73" t="s">
        <v>165</v>
      </c>
      <c r="N33" s="53" t="s">
        <v>170</v>
      </c>
    </row>
    <row r="34" spans="2:15" outlineLevel="1" x14ac:dyDescent="0.3">
      <c r="B34" s="20" t="s">
        <v>80</v>
      </c>
      <c r="C34" s="290" t="s">
        <v>580</v>
      </c>
      <c r="D34" s="290" t="str">
        <f t="shared" si="0"/>
        <v>EURO</v>
      </c>
      <c r="E34" s="369">
        <f>IF('2. Input Data On-Premise '!$D108="YES",'2. Input Data On-Premise '!$L108+'2. Input Data On-Premise '!$L110,IF('2. Input Data On-Premise '!$D108="NO",IF(DelkaProjektu&gt;=E$27,('2. Input Data On-Premise '!$L108+'2. Input Data On-Premise '!$L110)/DelkaProjektu,0)))</f>
        <v>0</v>
      </c>
      <c r="F34" s="369">
        <f>IF('2. Input Data On-Premise '!$D108="YES",0,IF('2. Input Data On-Premise '!$D108="NO",IF(DelkaProjektu&gt;=F$27,('2. Input Data On-Premise '!$L108+'2. Input Data On-Premise '!$L110)/DelkaProjektu,0)))</f>
        <v>0</v>
      </c>
      <c r="G34" s="369">
        <f>IF('2. Input Data On-Premise '!$D108="YES",0,IF('2. Input Data On-Premise '!$D108="NO",IF(DelkaProjektu&gt;=G$27,('2. Input Data On-Premise '!$L108+'2. Input Data On-Premise '!$L110)/DelkaProjektu,0)))</f>
        <v>0</v>
      </c>
      <c r="H34" s="369">
        <f>IF('2. Input Data On-Premise '!$D108="YES",0,IF('2. Input Data On-Premise '!$D108="NO",IF(DelkaProjektu&gt;=H$27,('2. Input Data On-Premise '!$L108+'2. Input Data On-Premise '!$L110)/DelkaProjektu,0)))</f>
        <v>0</v>
      </c>
      <c r="I34" s="369">
        <f>IF('2. Input Data On-Premise '!$D108="YES",0,IF('2. Input Data On-Premise '!$D108="NO",IF(DelkaProjektu&gt;=I$27,('2. Input Data On-Premise '!$L108+'2. Input Data On-Premise '!$L110)/DelkaProjektu,0)))</f>
        <v>0</v>
      </c>
      <c r="J34" s="370">
        <f t="shared" ref="J34" si="4">SUM(E34:I34)</f>
        <v>0</v>
      </c>
      <c r="K34" s="52"/>
      <c r="L34" s="73" t="s">
        <v>165</v>
      </c>
      <c r="N34" s="53" t="s">
        <v>170</v>
      </c>
    </row>
    <row r="35" spans="2:15" outlineLevel="1" x14ac:dyDescent="0.3">
      <c r="B35" s="40" t="s">
        <v>81</v>
      </c>
      <c r="C35" s="290" t="s">
        <v>581</v>
      </c>
      <c r="D35" s="290" t="str">
        <f t="shared" si="0"/>
        <v>EURO</v>
      </c>
      <c r="E35" s="369">
        <f>IF('2. Input Data On-Premise '!$D109="YES",'2. Input Data On-Premise '!$L109,IF('2. Input Data On-Premise '!$D109="NO",IF(DelkaProjektu&gt;=E$27,'2. Input Data On-Premise '!$L109/DelkaProjektu,0)))</f>
        <v>0</v>
      </c>
      <c r="F35" s="369">
        <f>IF('2. Input Data On-Premise '!$D109="YES",0,IF('2. Input Data On-Premise '!$D109="NO",IF(DelkaProjektu&gt;=F$27,'2. Input Data On-Premise '!$L109/DelkaProjektu,0)))</f>
        <v>0</v>
      </c>
      <c r="G35" s="369">
        <f>IF('2. Input Data On-Premise '!$D109="YES",0,IF('2. Input Data On-Premise '!$D109="NO",IF(DelkaProjektu&gt;=G$27,'2. Input Data On-Premise '!$L109/DelkaProjektu,0)))</f>
        <v>0</v>
      </c>
      <c r="H35" s="369">
        <f>IF('2. Input Data On-Premise '!$D109="YES",0,IF('2. Input Data On-Premise '!$D109="NO",IF(DelkaProjektu&gt;=H$27,'2. Input Data On-Premise '!$L109/DelkaProjektu,0)))</f>
        <v>0</v>
      </c>
      <c r="I35" s="369">
        <f>IF('2. Input Data On-Premise '!$D109="YES",0,IF('2. Input Data On-Premise '!$D109="NO",IF(DelkaProjektu&gt;=I$27,'2. Input Data On-Premise '!$L109/DelkaProjektu,0)))</f>
        <v>0</v>
      </c>
      <c r="J35" s="370">
        <f>SUM(E35:I35)</f>
        <v>0</v>
      </c>
      <c r="K35" s="52"/>
      <c r="L35" s="73" t="s">
        <v>165</v>
      </c>
      <c r="N35" s="53" t="s">
        <v>170</v>
      </c>
    </row>
    <row r="36" spans="2:15" x14ac:dyDescent="0.3">
      <c r="B36" s="19" t="s">
        <v>171</v>
      </c>
      <c r="C36" s="371" t="s">
        <v>582</v>
      </c>
      <c r="D36" s="371" t="str">
        <f t="shared" si="0"/>
        <v>EURO</v>
      </c>
      <c r="E36" s="365">
        <f>SUM(E37:E39)</f>
        <v>0</v>
      </c>
      <c r="F36" s="365">
        <f>SUM(F37:F39)</f>
        <v>0</v>
      </c>
      <c r="G36" s="365">
        <f>SUM(G37:G39)</f>
        <v>0</v>
      </c>
      <c r="H36" s="365">
        <f>SUM(H37:H39)</f>
        <v>0</v>
      </c>
      <c r="I36" s="365">
        <f>SUM(I37:I39)</f>
        <v>0</v>
      </c>
      <c r="J36" s="366">
        <f t="shared" ref="J36:J38" si="5">SUM(E36:I36)</f>
        <v>0</v>
      </c>
      <c r="K36" s="34"/>
      <c r="L36" s="73" t="s">
        <v>165</v>
      </c>
      <c r="N36" s="53" t="s">
        <v>170</v>
      </c>
    </row>
    <row r="37" spans="2:15" outlineLevel="1" x14ac:dyDescent="0.3">
      <c r="B37" s="20" t="s">
        <v>57</v>
      </c>
      <c r="C37" s="290" t="s">
        <v>583</v>
      </c>
      <c r="D37" s="290" t="str">
        <f t="shared" si="0"/>
        <v>EURO</v>
      </c>
      <c r="E37" s="372">
        <f>IF('2. Input Data On-Premise '!$D58="YES",'2. Input Data On-Premise '!$L$58+'2. Input Data On-Premise '!$L$68+'2. Input Data On-Premise '!$L$74,IF('2. Input Data On-Premise '!$D58="NO",IF(DelkaProjektu&gt;=E$27,'2. Input Data On-Premise '!$L$58/DelkaProjektu+'2. Input Data On-Premise '!$L$69*E$225+'2. Input Data On-Premise '!$L$75*E$225)))</f>
        <v>0</v>
      </c>
      <c r="F37" s="372">
        <f>IF('2. Input Data On-Premise '!$D58="YES",0,IF('2. Input Data On-Premise '!$D58="NO",IF(DelkaProjektu&gt;=F$27,'2. Input Data On-Premise '!$L$58/DelkaProjektu+'2. Input Data On-Premise '!$L$69*F$225+'2. Input Data On-Premise '!$L$75*F$225,0)))</f>
        <v>0</v>
      </c>
      <c r="G37" s="372">
        <f>IF('2. Input Data On-Premise '!$D58="YES",0,IF('2. Input Data On-Premise '!$D58="NO",IF(DelkaProjektu&gt;=G$27,'2. Input Data On-Premise '!$L$58/DelkaProjektu+'2. Input Data On-Premise '!$L$69*G$225+'2. Input Data On-Premise '!$L$75*G$225,0)))</f>
        <v>0</v>
      </c>
      <c r="H37" s="372">
        <f>IF('2. Input Data On-Premise '!$D58="YES",0,IF('2. Input Data On-Premise '!$D58="NO",IF(DelkaProjektu&gt;=H$27,'2. Input Data On-Premise '!$L$58/DelkaProjektu+'2. Input Data On-Premise '!$L$69*H$225+'2. Input Data On-Premise '!$L$75*H$225,0)))</f>
        <v>0</v>
      </c>
      <c r="I37" s="372">
        <f>IF('2. Input Data On-Premise '!$D58="YES",0,IF('2. Input Data On-Premise '!$D58="NO",IF(DelkaProjektu&gt;=I$27,'2. Input Data On-Premise '!$L$58/DelkaProjektu+'2. Input Data On-Premise '!$L$69*I$225+'2. Input Data On-Premise '!$L$75*I$225,0)))</f>
        <v>0</v>
      </c>
      <c r="J37" s="370">
        <f t="shared" si="5"/>
        <v>0</v>
      </c>
      <c r="K37" s="52"/>
      <c r="L37" s="73" t="s">
        <v>165</v>
      </c>
      <c r="N37" s="53" t="s">
        <v>170</v>
      </c>
      <c r="O37" s="54" t="s">
        <v>172</v>
      </c>
    </row>
    <row r="38" spans="2:15" outlineLevel="1" x14ac:dyDescent="0.3">
      <c r="B38" s="41" t="s">
        <v>66</v>
      </c>
      <c r="C38" s="290" t="s">
        <v>584</v>
      </c>
      <c r="D38" s="290" t="str">
        <f t="shared" si="0"/>
        <v>EURO</v>
      </c>
      <c r="E38" s="372">
        <f>IF('2. Input Data On-Premise '!$D78="YES",'2. Input Data On-Premise '!$L$78+'2. Input Data On-Premise '!$L$79+'2. Input Data On-Premise '!$L$80+'2. Input Data On-Premise '!$L81,IF('2. Input Data On-Premise '!$D78="NO",IF(DelkaProjektu&gt;=E$27,('2. Input Data On-Premise '!$L78+'2. Input Data On-Premise '!$L79+'2. Input Data On-Premise '!$L80+'2. Input Data On-Premise '!$L81)/DelkaProjektu)))</f>
        <v>0</v>
      </c>
      <c r="F38" s="372">
        <f>IF('2. Input Data On-Premise '!$D78="YES",0,IF('2. Input Data On-Premise '!$D78="NO",IF(DelkaProjektu&gt;=F$27,('2. Input Data On-Premise '!$L78+'2. Input Data On-Premise '!$L79+'2. Input Data On-Premise '!$L80+'2. Input Data On-Premise '!$L81)/DelkaProjektu,0)))</f>
        <v>0</v>
      </c>
      <c r="G38" s="372">
        <f>IF('2. Input Data On-Premise '!$D78="YES",0,IF('2. Input Data On-Premise '!$D78="NO",IF(DelkaProjektu&gt;=G$27,('2. Input Data On-Premise '!$L78+'2. Input Data On-Premise '!$L79+'2. Input Data On-Premise '!$L80+'2. Input Data On-Premise '!$L81)/DelkaProjektu,0)))</f>
        <v>0</v>
      </c>
      <c r="H38" s="372">
        <f>IF('2. Input Data On-Premise '!$D78="YES",0,IF('2. Input Data On-Premise '!$D78="NO",IF(DelkaProjektu&gt;=H$27,('2. Input Data On-Premise '!$L78+'2. Input Data On-Premise '!$L79+'2. Input Data On-Premise '!$L80+'2. Input Data On-Premise '!$L81)/DelkaProjektu,0)))</f>
        <v>0</v>
      </c>
      <c r="I38" s="372">
        <f>IF('2. Input Data On-Premise '!$D78="YES",0,IF('2. Input Data On-Premise '!$D78="NO",IF(DelkaProjektu&gt;=I$27,('2. Input Data On-Premise '!$L78+'2. Input Data On-Premise '!$L79+'2. Input Data On-Premise '!$L80+'2. Input Data On-Premise '!$L81)/DelkaProjektu,0)))</f>
        <v>0</v>
      </c>
      <c r="J38" s="370">
        <f t="shared" si="5"/>
        <v>0</v>
      </c>
      <c r="K38" s="52"/>
      <c r="L38" s="73" t="s">
        <v>165</v>
      </c>
      <c r="N38" s="53" t="s">
        <v>170</v>
      </c>
    </row>
    <row r="39" spans="2:15" outlineLevel="1" x14ac:dyDescent="0.3">
      <c r="B39" s="40" t="s">
        <v>76</v>
      </c>
      <c r="C39" s="290" t="s">
        <v>828</v>
      </c>
      <c r="D39" s="290" t="str">
        <f t="shared" si="0"/>
        <v>EURO</v>
      </c>
      <c r="E39" s="369">
        <f>IF('2. Input Data On-Premise '!$D99="YES",'2. Input Data On-Premise '!$L99,IF('2. Input Data On-Premise '!$D99="NO",IF(DelkaProjektu&gt;=E$27,'2. Input Data On-Premise '!$L99/DelkaProjektu,0)))</f>
        <v>0</v>
      </c>
      <c r="F39" s="369">
        <f>IF('2. Input Data On-Premise '!$D99="YES",0,IF('2. Input Data On-Premise '!$D99="NO",IF(DelkaProjektu&gt;=F$27,'2. Input Data On-Premise '!$L99/DelkaProjektu,0)))</f>
        <v>0</v>
      </c>
      <c r="G39" s="369">
        <f>IF('2. Input Data On-Premise '!$D99="YES",0,IF('2. Input Data On-Premise '!$D99="NO",IF(DelkaProjektu&gt;=G$27,'2. Input Data On-Premise '!$L99/DelkaProjektu,0)))</f>
        <v>0</v>
      </c>
      <c r="H39" s="369">
        <f>IF('2. Input Data On-Premise '!$D99="YES",0,IF('2. Input Data On-Premise '!$D99="NO",IF(DelkaProjektu&gt;=H$27,'2. Input Data On-Premise '!$L99/DelkaProjektu,0)))</f>
        <v>0</v>
      </c>
      <c r="I39" s="369">
        <f>IF('2. Input Data On-Premise '!$D99="YES",0,IF('2. Input Data On-Premise '!$D99="NO",IF(DelkaProjektu&gt;=I$27,'2. Input Data On-Premise '!$L99/DelkaProjektu,0)))</f>
        <v>0</v>
      </c>
      <c r="J39" s="370">
        <f>SUM(E39:I39)</f>
        <v>0</v>
      </c>
      <c r="K39" s="52"/>
      <c r="L39" s="73" t="s">
        <v>165</v>
      </c>
      <c r="N39" s="53" t="s">
        <v>166</v>
      </c>
    </row>
    <row r="40" spans="2:15" ht="15.75" customHeight="1" x14ac:dyDescent="0.3">
      <c r="B40" s="19" t="s">
        <v>173</v>
      </c>
      <c r="C40" s="371" t="s">
        <v>585</v>
      </c>
      <c r="D40" s="371" t="str">
        <f t="shared" si="0"/>
        <v>EURO</v>
      </c>
      <c r="E40" s="365">
        <f>SUM(E41:E43)</f>
        <v>0</v>
      </c>
      <c r="F40" s="365">
        <f t="shared" ref="F40:I40" si="6">SUM(F41:F43)</f>
        <v>0</v>
      </c>
      <c r="G40" s="365">
        <f t="shared" si="6"/>
        <v>0</v>
      </c>
      <c r="H40" s="365">
        <f t="shared" si="6"/>
        <v>0</v>
      </c>
      <c r="I40" s="365">
        <f t="shared" si="6"/>
        <v>0</v>
      </c>
      <c r="J40" s="366">
        <f>SUM(J41:J43)</f>
        <v>0</v>
      </c>
      <c r="K40" s="52"/>
      <c r="L40" s="73" t="s">
        <v>165</v>
      </c>
      <c r="N40" s="53" t="s">
        <v>170</v>
      </c>
    </row>
    <row r="41" spans="2:15" ht="16.5" customHeight="1" outlineLevel="1" x14ac:dyDescent="0.3">
      <c r="B41" s="20" t="s">
        <v>35</v>
      </c>
      <c r="C41" s="290" t="s">
        <v>586</v>
      </c>
      <c r="D41" s="290" t="str">
        <f t="shared" si="0"/>
        <v>EURO</v>
      </c>
      <c r="E41" s="369">
        <f>IF('2. Input Data On-Premise '!$D18="YES",'2. Input Data On-Premise '!$L18,IF('2. Input Data On-Premise '!$D18="NO",IF(DelkaProjektu&gt;=E$27,('2. Input Data On-Premise '!$L$18)/DelkaProjektu,0)))</f>
        <v>0</v>
      </c>
      <c r="F41" s="369">
        <f>IF('2. Input Data On-Premise '!$D18="YES",0,IF('2. Input Data On-Premise '!$D18="NO",IF(DelkaProjektu&gt;=F$27,('2. Input Data On-Premise '!$L$18)/DelkaProjektu,0)))</f>
        <v>0</v>
      </c>
      <c r="G41" s="369">
        <f>IF('2. Input Data On-Premise '!$D18="YES",0,IF('2. Input Data On-Premise '!$D18="NO",IF(DelkaProjektu&gt;=G$27,('2. Input Data On-Premise '!$L$18)/DelkaProjektu,0)))</f>
        <v>0</v>
      </c>
      <c r="H41" s="369">
        <f>IF('2. Input Data On-Premise '!$D18="YES",0,IF('2. Input Data On-Premise '!$D18="NO",IF(DelkaProjektu&gt;=H$27,('2. Input Data On-Premise '!$L$18)/DelkaProjektu,0)))</f>
        <v>0</v>
      </c>
      <c r="I41" s="369">
        <f>IF('2. Input Data On-Premise '!$D18="YES",0,IF('2. Input Data On-Premise '!$D18="NO",IF(DelkaProjektu&gt;=I$27,('2. Input Data On-Premise '!$L$18)/DelkaProjektu,0)))</f>
        <v>0</v>
      </c>
      <c r="J41" s="370">
        <f t="shared" ref="J41:J56" si="7">SUM(E41:I41)</f>
        <v>0</v>
      </c>
      <c r="K41" s="52"/>
      <c r="L41" s="73" t="s">
        <v>165</v>
      </c>
      <c r="N41" s="53" t="s">
        <v>170</v>
      </c>
    </row>
    <row r="42" spans="2:15" ht="15.75" customHeight="1" outlineLevel="1" x14ac:dyDescent="0.3">
      <c r="B42" s="20" t="s">
        <v>77</v>
      </c>
      <c r="C42" s="290" t="s">
        <v>823</v>
      </c>
      <c r="D42" s="290" t="str">
        <f t="shared" si="0"/>
        <v>EURO</v>
      </c>
      <c r="E42" s="369">
        <f>IF('2. Input Data On-Premise '!$D100="YES",'2. Input Data On-Premise '!$L100,IF('2. Input Data On-Premise '!$D100="NO",IF(DelkaProjektu&gt;=E$27,'2. Input Data On-Premise '!$L100/DelkaProjektu,0)))</f>
        <v>0</v>
      </c>
      <c r="F42" s="369">
        <f>IF('2. Input Data On-Premise '!$D100="YES",0,IF('2. Input Data On-Premise '!$D100="NO",IF(DelkaProjektu&gt;=F$27,'2. Input Data On-Premise '!$L100/DelkaProjektu,0)))</f>
        <v>0</v>
      </c>
      <c r="G42" s="369">
        <f>IF('2. Input Data On-Premise '!$D100="YES",0,IF('2. Input Data On-Premise '!$D100="NO",IF(DelkaProjektu&gt;=G$27,'2. Input Data On-Premise '!$L100/DelkaProjektu,0)))</f>
        <v>0</v>
      </c>
      <c r="H42" s="369">
        <f>IF('2. Input Data On-Premise '!$D100="YES",0,IF('2. Input Data On-Premise '!$D100="NO",IF(DelkaProjektu&gt;=H$27,'2. Input Data On-Premise '!$L100/DelkaProjektu,0)))</f>
        <v>0</v>
      </c>
      <c r="I42" s="369">
        <f>IF('2. Input Data On-Premise '!$D100="YES",0,IF('2. Input Data On-Premise '!$D100="NO",IF(DelkaProjektu&gt;=I$27,'2. Input Data On-Premise '!$L100/DelkaProjektu,0)))</f>
        <v>0</v>
      </c>
      <c r="J42" s="370">
        <f t="shared" si="7"/>
        <v>0</v>
      </c>
      <c r="K42" s="52"/>
      <c r="L42" s="73" t="s">
        <v>165</v>
      </c>
      <c r="N42" s="74" t="s">
        <v>166</v>
      </c>
    </row>
    <row r="43" spans="2:15" ht="15.75" customHeight="1" outlineLevel="1" x14ac:dyDescent="0.3">
      <c r="B43" s="20" t="s">
        <v>41</v>
      </c>
      <c r="C43" s="290" t="s">
        <v>318</v>
      </c>
      <c r="D43" s="290" t="str">
        <f t="shared" si="0"/>
        <v>EURO</v>
      </c>
      <c r="E43" s="369">
        <f>IF('2. Input Data On-Premise '!$D30="YES",'2. Input Data On-Premise '!$L30+'2. Input Data On-Premise '!$L$32+'2. Input Data On-Premise '!$L22,IF('2. Input Data On-Premise '!$D30="NO",IF(DelkaProjektu&gt;=E$27,('2. Input Data On-Premise '!$L$30+'2. Input Data On-Premise '!$L$32+'2. Input Data On-Premise '!$L22)/DelkaProjektu,0)))</f>
        <v>0</v>
      </c>
      <c r="F43" s="369">
        <f>IF('2. Input Data On-Premise '!$D30="YES",0,IF('2. Input Data On-Premise '!$D30="NO",IF(DelkaProjektu&gt;=F$27,('2. Input Data On-Premise '!$L$30+'2. Input Data On-Premise '!$L$32+'2. Input Data On-Premise '!$L22)/DelkaProjektu,0)))</f>
        <v>0</v>
      </c>
      <c r="G43" s="369">
        <f>IF('2. Input Data On-Premise '!$D30="YES",0,IF('2. Input Data On-Premise '!$D30="NO",IF(DelkaProjektu&gt;=G$27,('2. Input Data On-Premise '!$L$30+'2. Input Data On-Premise '!$L$32+'2. Input Data On-Premise '!$L22)/DelkaProjektu,0)))</f>
        <v>0</v>
      </c>
      <c r="H43" s="369">
        <f>IF('2. Input Data On-Premise '!$D30="YES",0,IF('2. Input Data On-Premise '!$D30="NO",IF(DelkaProjektu&gt;=H$27,('2. Input Data On-Premise '!$L$30+'2. Input Data On-Premise '!$L$32+'2. Input Data On-Premise '!$L22)/DelkaProjektu,0)))</f>
        <v>0</v>
      </c>
      <c r="I43" s="369">
        <f>IF('2. Input Data On-Premise '!$D30="YES",0,IF('2. Input Data On-Premise '!$D30="NO",IF(DelkaProjektu&gt;=I$27,('2. Input Data On-Premise '!$L$30+'2. Input Data On-Premise '!$L$32+'2. Input Data On-Premise '!$L22)/DelkaProjektu,0)))</f>
        <v>0</v>
      </c>
      <c r="J43" s="370">
        <f>SUM(E43:I43)</f>
        <v>0</v>
      </c>
      <c r="K43" s="52"/>
      <c r="L43" s="73" t="s">
        <v>165</v>
      </c>
      <c r="N43" s="74" t="s">
        <v>170</v>
      </c>
    </row>
    <row r="44" spans="2:15" ht="15.75" customHeight="1" x14ac:dyDescent="0.3">
      <c r="B44" s="19" t="s">
        <v>39</v>
      </c>
      <c r="C44" s="371" t="s">
        <v>587</v>
      </c>
      <c r="D44" s="371" t="str">
        <f t="shared" si="0"/>
        <v>EURO</v>
      </c>
      <c r="E44" s="365">
        <f>IF('2. Input Data On-Premise '!$D26="YES",'2. Input Data On-Premise '!$L26,IF('2. Input Data On-Premise '!$D26="NO",IF(DelkaProjektu&gt;=E$27,'2. Input Data On-Premise '!$L26/DelkaProjektu,0)))</f>
        <v>0</v>
      </c>
      <c r="F44" s="365">
        <f>IF('2. Input Data On-Premise '!$D26="YES",0,IF('2. Input Data On-Premise '!$D26="NO",IF(DelkaProjektu&gt;=F$27,'2. Input Data On-Premise '!$L26/DelkaProjektu,0)))</f>
        <v>0</v>
      </c>
      <c r="G44" s="365">
        <f>IF('2. Input Data On-Premise '!$D26="YES",0,IF('2. Input Data On-Premise '!$D26="NO",IF(DelkaProjektu&gt;=G$27,'2. Input Data On-Premise '!$L26/DelkaProjektu,0)))</f>
        <v>0</v>
      </c>
      <c r="H44" s="365">
        <f>IF('2. Input Data On-Premise '!$D26="YES",0,IF('2. Input Data On-Premise '!$D26="NO",IF(DelkaProjektu&gt;=H$27,'2. Input Data On-Premise '!$L26/DelkaProjektu,0)))</f>
        <v>0</v>
      </c>
      <c r="I44" s="365">
        <f>IF('2. Input Data On-Premise '!$D26="YES",0,IF('2. Input Data On-Premise '!$D26="NO",IF(DelkaProjektu&gt;=I$27,'2. Input Data On-Premise '!$L26/DelkaProjektu,0)))</f>
        <v>0</v>
      </c>
      <c r="J44" s="366">
        <f t="shared" si="7"/>
        <v>0</v>
      </c>
      <c r="K44" s="52"/>
      <c r="L44" s="73" t="s">
        <v>165</v>
      </c>
      <c r="N44" s="74" t="s">
        <v>170</v>
      </c>
    </row>
    <row r="45" spans="2:15" ht="15.75" customHeight="1" x14ac:dyDescent="0.3">
      <c r="B45" s="19" t="s">
        <v>174</v>
      </c>
      <c r="C45" s="371" t="s">
        <v>588</v>
      </c>
      <c r="D45" s="371" t="str">
        <f t="shared" si="0"/>
        <v>EURO</v>
      </c>
      <c r="E45" s="365">
        <f>SUM(E46:E48)</f>
        <v>0</v>
      </c>
      <c r="F45" s="365">
        <f t="shared" ref="F45:I45" si="8">SUM(F46:F48)</f>
        <v>0</v>
      </c>
      <c r="G45" s="365">
        <f t="shared" si="8"/>
        <v>0</v>
      </c>
      <c r="H45" s="365">
        <f t="shared" si="8"/>
        <v>0</v>
      </c>
      <c r="I45" s="365">
        <f t="shared" si="8"/>
        <v>0</v>
      </c>
      <c r="J45" s="366">
        <f t="shared" si="7"/>
        <v>0</v>
      </c>
      <c r="K45" s="52"/>
      <c r="L45" s="73" t="s">
        <v>165</v>
      </c>
      <c r="N45" s="74" t="s">
        <v>166</v>
      </c>
    </row>
    <row r="46" spans="2:15" ht="15.75" customHeight="1" outlineLevel="1" x14ac:dyDescent="0.3">
      <c r="B46" s="20" t="s">
        <v>45</v>
      </c>
      <c r="C46" s="290" t="s">
        <v>589</v>
      </c>
      <c r="D46" s="290" t="str">
        <f t="shared" si="0"/>
        <v>EURO</v>
      </c>
      <c r="E46" s="369">
        <f>IF('2. Input Data On-Premise '!$D38="YES",'2. Input Data On-Premise '!$L38,IF('2. Input Data On-Premise '!$D38="NO",IF(DelkaProjektu&gt;=E$27,'2. Input Data On-Premise '!$L38/DelkaProjektu,0)))</f>
        <v>0</v>
      </c>
      <c r="F46" s="369">
        <f>IF('2. Input Data On-Premise '!$D38="YES",0,IF('2. Input Data On-Premise '!$D38="NO",IF(DelkaProjektu&gt;=F$27,'2. Input Data On-Premise '!$L38/DelkaProjektu,0)))</f>
        <v>0</v>
      </c>
      <c r="G46" s="369">
        <f>IF('2. Input Data On-Premise '!$D38="YES",0,IF('2. Input Data On-Premise '!$D38="NO",IF(DelkaProjektu&gt;=G$27,'2. Input Data On-Premise '!$L38/DelkaProjektu,0)))</f>
        <v>0</v>
      </c>
      <c r="H46" s="369">
        <f>IF('2. Input Data On-Premise '!$D38="YES",0,IF('2. Input Data On-Premise '!$D38="NO",IF(DelkaProjektu&gt;=H$27,'2. Input Data On-Premise '!$L38/DelkaProjektu,0)))</f>
        <v>0</v>
      </c>
      <c r="I46" s="369">
        <f>IF('2. Input Data On-Premise '!$D38="YES",0,IF('2. Input Data On-Premise '!$D38="NO",IF(DelkaProjektu&gt;=I$27,'2. Input Data On-Premise '!$L38/DelkaProjektu,0)))</f>
        <v>0</v>
      </c>
      <c r="J46" s="370">
        <f t="shared" si="7"/>
        <v>0</v>
      </c>
      <c r="K46" s="52"/>
      <c r="L46" s="73" t="s">
        <v>165</v>
      </c>
      <c r="N46" s="74" t="s">
        <v>166</v>
      </c>
    </row>
    <row r="47" spans="2:15" ht="15.75" customHeight="1" outlineLevel="1" x14ac:dyDescent="0.3">
      <c r="B47" s="20" t="s">
        <v>47</v>
      </c>
      <c r="C47" s="290" t="s">
        <v>590</v>
      </c>
      <c r="D47" s="290" t="str">
        <f t="shared" si="0"/>
        <v>EURO</v>
      </c>
      <c r="E47" s="369">
        <f>IF('2. Input Data On-Premise '!$D42="YES",'2. Input Data On-Premise '!$L42,IF('2. Input Data On-Premise '!$D42="NO",IF(DelkaProjektu&gt;=E$27,'2. Input Data On-Premise '!$L42/DelkaProjektu,0)))</f>
        <v>0</v>
      </c>
      <c r="F47" s="369">
        <f>IF('2. Input Data On-Premise '!$D42="YES",0,IF('2. Input Data On-Premise '!$D42="NO",IF(DelkaProjektu&gt;=F$27,'2. Input Data On-Premise '!$L42/DelkaProjektu,0)))</f>
        <v>0</v>
      </c>
      <c r="G47" s="369">
        <f>IF('2. Input Data On-Premise '!$D42="YES",0,IF('2. Input Data On-Premise '!$D42="NO",IF(DelkaProjektu&gt;=G$27,'2. Input Data On-Premise '!$L42/DelkaProjektu,0)))</f>
        <v>0</v>
      </c>
      <c r="H47" s="369">
        <f>IF('2. Input Data On-Premise '!$D42="YES",0,IF('2. Input Data On-Premise '!$D42="NO",IF(DelkaProjektu&gt;=H$27,'2. Input Data On-Premise '!$L42/DelkaProjektu,0)))</f>
        <v>0</v>
      </c>
      <c r="I47" s="369">
        <f>IF('2. Input Data On-Premise '!$D42="YES",0,IF('2. Input Data On-Premise '!$D42="NO",IF(DelkaProjektu&gt;=I$27,'2. Input Data On-Premise '!$L42/DelkaProjektu,0)))</f>
        <v>0</v>
      </c>
      <c r="J47" s="370">
        <f t="shared" si="7"/>
        <v>0</v>
      </c>
      <c r="K47" s="52"/>
      <c r="L47" s="73" t="s">
        <v>165</v>
      </c>
      <c r="N47" s="74" t="s">
        <v>166</v>
      </c>
    </row>
    <row r="48" spans="2:15" ht="15.75" customHeight="1" outlineLevel="1" x14ac:dyDescent="0.3">
      <c r="B48" s="20" t="s">
        <v>50</v>
      </c>
      <c r="C48" s="290" t="s">
        <v>821</v>
      </c>
      <c r="D48" s="290" t="str">
        <f t="shared" si="0"/>
        <v>EURO</v>
      </c>
      <c r="E48" s="369">
        <f>IF('2. Input Data On-Premise '!$D44="YES",'2. Input Data On-Premise '!$L44,IF('2. Input Data On-Premise '!$D44="NO",IF(DelkaProjektu&gt;=E$27,'2. Input Data On-Premise '!$L44/DelkaProjektu,0)))</f>
        <v>0</v>
      </c>
      <c r="F48" s="369">
        <f>IF('2. Input Data On-Premise '!$D44="YES",0,IF('2. Input Data On-Premise '!$D44="NO",IF(DelkaProjektu&gt;=F$27,'2. Input Data On-Premise '!$L44/DelkaProjektu,0)))</f>
        <v>0</v>
      </c>
      <c r="G48" s="369">
        <f>IF('2. Input Data On-Premise '!$D44="YES",0,IF('2. Input Data On-Premise '!$D44="NO",IF(DelkaProjektu&gt;=G$27,'2. Input Data On-Premise '!$L44/DelkaProjektu,0)))</f>
        <v>0</v>
      </c>
      <c r="H48" s="369">
        <f>IF('2. Input Data On-Premise '!$D44="YES",0,IF('2. Input Data On-Premise '!$D44="NO",IF(DelkaProjektu&gt;=H$27,'2. Input Data On-Premise '!$L44/DelkaProjektu,0)))</f>
        <v>0</v>
      </c>
      <c r="I48" s="369">
        <f>IF('2. Input Data On-Premise '!$D44="YES",0,IF('2. Input Data On-Premise '!$D44="NO",IF(DelkaProjektu&gt;=I$27,'2. Input Data On-Premise '!$L44/DelkaProjektu,0)))</f>
        <v>0</v>
      </c>
      <c r="J48" s="370">
        <f t="shared" si="7"/>
        <v>0</v>
      </c>
      <c r="K48" s="52"/>
      <c r="L48" s="73" t="s">
        <v>165</v>
      </c>
      <c r="N48" s="74" t="s">
        <v>166</v>
      </c>
    </row>
    <row r="49" spans="2:14" ht="15.75" customHeight="1" x14ac:dyDescent="0.3">
      <c r="B49" s="19" t="s">
        <v>175</v>
      </c>
      <c r="C49" s="371" t="s">
        <v>591</v>
      </c>
      <c r="D49" s="371" t="str">
        <f t="shared" si="0"/>
        <v>EURO</v>
      </c>
      <c r="E49" s="365">
        <f>SUM(E50:E51)</f>
        <v>0</v>
      </c>
      <c r="F49" s="365">
        <f t="shared" ref="F49:I49" si="9">SUM(F50:F51)</f>
        <v>0</v>
      </c>
      <c r="G49" s="365">
        <f t="shared" si="9"/>
        <v>0</v>
      </c>
      <c r="H49" s="365">
        <f t="shared" si="9"/>
        <v>0</v>
      </c>
      <c r="I49" s="365">
        <f t="shared" si="9"/>
        <v>0</v>
      </c>
      <c r="J49" s="366">
        <f>SUM(E49:I49)</f>
        <v>0</v>
      </c>
      <c r="K49" s="52"/>
      <c r="L49" s="73" t="s">
        <v>165</v>
      </c>
      <c r="N49" s="74" t="s">
        <v>170</v>
      </c>
    </row>
    <row r="50" spans="2:14" ht="15.75" customHeight="1" outlineLevel="1" x14ac:dyDescent="0.3">
      <c r="B50" s="20" t="s">
        <v>51</v>
      </c>
      <c r="C50" s="324" t="s">
        <v>330</v>
      </c>
      <c r="D50" s="324" t="str">
        <f t="shared" si="0"/>
        <v>EURO</v>
      </c>
      <c r="E50" s="369">
        <f>IF('2. Input Data On-Premise '!$D48="YES",'2. Input Data On-Premise '!$L48,IF('2. Input Data On-Premise '!$D48="NO",IF(DelkaProjektu&gt;=E$27,'2. Input Data On-Premise '!$L48/DelkaProjektu,0)))</f>
        <v>0</v>
      </c>
      <c r="F50" s="369">
        <f>IF('2. Input Data On-Premise '!$D48="YES",0,IF('2. Input Data On-Premise '!$D48="NO",IF(DelkaProjektu&gt;=F$27,'2. Input Data On-Premise '!$L48/DelkaProjektu,0)))</f>
        <v>0</v>
      </c>
      <c r="G50" s="369">
        <f>IF('2. Input Data On-Premise '!$D48="YES",0,IF('2. Input Data On-Premise '!$D48="NO",IF(DelkaProjektu&gt;=G$27,'2. Input Data On-Premise '!$L48/DelkaProjektu,0)))</f>
        <v>0</v>
      </c>
      <c r="H50" s="369">
        <f>IF('2. Input Data On-Premise '!$D48="YES",0,IF('2. Input Data On-Premise '!$D48="NO",IF(DelkaProjektu&gt;=H$27,'2. Input Data On-Premise '!$L48/DelkaProjektu,0)))</f>
        <v>0</v>
      </c>
      <c r="I50" s="369">
        <f>IF('2. Input Data On-Premise '!$D48="YES",0,IF('2. Input Data On-Premise '!$D48="NO",IF(DelkaProjektu&gt;=I$27,'2. Input Data On-Premise '!$L48/DelkaProjektu,0)))</f>
        <v>0</v>
      </c>
      <c r="J50" s="370">
        <f t="shared" si="7"/>
        <v>0</v>
      </c>
      <c r="K50" s="52"/>
      <c r="L50" s="73" t="s">
        <v>165</v>
      </c>
      <c r="N50" s="35" t="s">
        <v>170</v>
      </c>
    </row>
    <row r="51" spans="2:14" ht="15.75" customHeight="1" outlineLevel="1" x14ac:dyDescent="0.3">
      <c r="B51" s="20" t="s">
        <v>52</v>
      </c>
      <c r="C51" s="324" t="s">
        <v>331</v>
      </c>
      <c r="D51" s="324" t="str">
        <f t="shared" si="0"/>
        <v>EURO</v>
      </c>
      <c r="E51" s="369">
        <f>IF('2. Input Data On-Premise '!$D49="YES",'2. Input Data On-Premise '!$L49,IF('2. Input Data On-Premise '!$D49="NO",IF(DelkaProjektu&gt;=E$27,'2. Input Data On-Premise '!$L49/DelkaProjektu,0)))</f>
        <v>0</v>
      </c>
      <c r="F51" s="369">
        <f>IF('2. Input Data On-Premise '!$D49="YES",0,IF('2. Input Data On-Premise '!$D49="NO",IF(DelkaProjektu&gt;=F$27,'2. Input Data On-Premise '!$L49/DelkaProjektu,0)))</f>
        <v>0</v>
      </c>
      <c r="G51" s="369">
        <f>IF('2. Input Data On-Premise '!$D49="YES",0,IF('2. Input Data On-Premise '!$D49="NO",IF(DelkaProjektu&gt;=G$27,'2. Input Data On-Premise '!$L49/DelkaProjektu,0)))</f>
        <v>0</v>
      </c>
      <c r="H51" s="369">
        <f>IF('2. Input Data On-Premise '!$D49="YES",0,IF('2. Input Data On-Premise '!$D49="NO",IF(DelkaProjektu&gt;=H$27,'2. Input Data On-Premise '!$L49/DelkaProjektu,0)))</f>
        <v>0</v>
      </c>
      <c r="I51" s="369">
        <f>IF('2. Input Data On-Premise '!$D49="YES",0,IF('2. Input Data On-Premise '!$D49="NO",IF(DelkaProjektu&gt;=I$27,'2. Input Data On-Premise '!$L49/DelkaProjektu,0)))</f>
        <v>0</v>
      </c>
      <c r="J51" s="370">
        <f t="shared" si="7"/>
        <v>0</v>
      </c>
      <c r="K51" s="52"/>
      <c r="L51" s="73" t="s">
        <v>165</v>
      </c>
      <c r="N51" s="35" t="s">
        <v>170</v>
      </c>
    </row>
    <row r="52" spans="2:14" ht="15.75" customHeight="1" x14ac:dyDescent="0.3">
      <c r="B52" s="44" t="s">
        <v>176</v>
      </c>
      <c r="C52" s="373" t="s">
        <v>592</v>
      </c>
      <c r="D52" s="373" t="str">
        <f t="shared" si="0"/>
        <v>EURO</v>
      </c>
      <c r="E52" s="374">
        <f>SUM(E53:E54)</f>
        <v>0</v>
      </c>
      <c r="F52" s="374">
        <f>SUM(F53:F54)</f>
        <v>0</v>
      </c>
      <c r="G52" s="374">
        <f>SUM(G53:G54)</f>
        <v>0</v>
      </c>
      <c r="H52" s="374">
        <f>SUM(H53:H54)</f>
        <v>0</v>
      </c>
      <c r="I52" s="374">
        <f>SUM(I53:I54)</f>
        <v>0</v>
      </c>
      <c r="J52" s="366">
        <f>SUM(E52:I52)</f>
        <v>0</v>
      </c>
      <c r="K52" s="52"/>
      <c r="L52" s="73" t="s">
        <v>165</v>
      </c>
      <c r="N52" s="35" t="s">
        <v>170</v>
      </c>
    </row>
    <row r="53" spans="2:14" ht="15.75" customHeight="1" outlineLevel="1" x14ac:dyDescent="0.3">
      <c r="B53" s="20" t="s">
        <v>177</v>
      </c>
      <c r="C53" s="324" t="s">
        <v>593</v>
      </c>
      <c r="D53" s="324" t="str">
        <f t="shared" si="0"/>
        <v>EURO</v>
      </c>
      <c r="E53" s="369">
        <f>IF('2. Input Data On-Premise '!$D86="YES",'2. Input Data On-Premise '!$L86+'2. Input Data On-Premise '!$L87+'2. Input Data On-Premise '!$L89,IF('2. Input Data On-Premise '!$D86="NO",IF(DelkaProjektu&gt;=E$27,('2. Input Data On-Premise '!$L$87+'2. Input Data On-Premise '!$L$89+'2. Input Data On-Premise '!$L86)/DelkaProjektu,0)))</f>
        <v>0</v>
      </c>
      <c r="F53" s="369">
        <f>IF('2. Input Data On-Premise '!$D86="YES",0,IF('2. Input Data On-Premise '!$D86="NO",IF(DelkaProjektu&gt;=F$27,('2. Input Data On-Premise '!$L$86+'2. Input Data On-Premise '!$L$89+'2. Input Data On-Premise '!$L$87)/DelkaProjektu,0)))</f>
        <v>0</v>
      </c>
      <c r="G53" s="369">
        <f>IF('2. Input Data On-Premise '!$D86="YES",0,IF('2. Input Data On-Premise '!$D86="NO",IF(DelkaProjektu&gt;=G$27,('2. Input Data On-Premise '!$L$86+'2. Input Data On-Premise '!$L$89+'2. Input Data On-Premise '!$L$87)/DelkaProjektu,0)))</f>
        <v>0</v>
      </c>
      <c r="H53" s="369">
        <f>IF('2. Input Data On-Premise '!$D86="YES",0,IF('2. Input Data On-Premise '!$D86="NO",IF(DelkaProjektu&gt;=H$27,('2. Input Data On-Premise '!$L$86+'2. Input Data On-Premise '!$L$89+'2. Input Data On-Premise '!$L$87)/DelkaProjektu,0)))</f>
        <v>0</v>
      </c>
      <c r="I53" s="369">
        <f>IF('2. Input Data On-Premise '!$D86="YES",0,IF('2. Input Data On-Premise '!$D86="NO",IF(DelkaProjektu&gt;=I$27,('2. Input Data On-Premise '!$L$86+'2. Input Data On-Premise '!$L$89+'2. Input Data On-Premise '!$L$87)/DelkaProjektu,0)))</f>
        <v>0</v>
      </c>
      <c r="J53" s="370">
        <f>SUM(E53:I53)</f>
        <v>0</v>
      </c>
      <c r="K53" s="52"/>
      <c r="L53" s="73" t="s">
        <v>165</v>
      </c>
      <c r="N53" s="35" t="s">
        <v>170</v>
      </c>
    </row>
    <row r="54" spans="2:14" ht="15.75" customHeight="1" outlineLevel="1" x14ac:dyDescent="0.3">
      <c r="B54" s="20" t="s">
        <v>178</v>
      </c>
      <c r="C54" s="375" t="s">
        <v>594</v>
      </c>
      <c r="D54" s="375" t="str">
        <f t="shared" si="0"/>
        <v>EURO</v>
      </c>
      <c r="E54" s="369">
        <f>IF('2. Input Data On-Premise '!$D86="YES",'2. Input Data On-Premise '!$L88+'2. Input Data On-Premise '!$L90,IF('2. Input Data On-Premise '!$D86="NO",IF(DelkaProjektu&gt;=E$27,('2. Input Data On-Premise '!$L$88+'2. Input Data On-Premise '!$L90)/DelkaProjektu,0)))</f>
        <v>0</v>
      </c>
      <c r="F54" s="369">
        <f>IF('2. Input Data On-Premise '!$D86="YES",0,IF('2. Input Data On-Premise '!$D86="NO",IF(DelkaProjektu&gt;=F$27,('2. Input Data On-Premise '!$L$88+'2. Input Data On-Premise '!$L$90)/DelkaProjektu,0)))</f>
        <v>0</v>
      </c>
      <c r="G54" s="369">
        <f>IF('2. Input Data On-Premise '!$D86="YES",0,IF('2. Input Data On-Premise '!$D86="NO",IF(DelkaProjektu&gt;=G$27,('2. Input Data On-Premise '!$L$88+'2. Input Data On-Premise '!$L$90)/DelkaProjektu,0)))</f>
        <v>0</v>
      </c>
      <c r="H54" s="369">
        <f>IF('2. Input Data On-Premise '!$D86="YES",0,IF('2. Input Data On-Premise '!$D86="NO",IF(DelkaProjektu&gt;=H$27,('2. Input Data On-Premise '!$L$88+'2. Input Data On-Premise '!$L$90)/DelkaProjektu,0)))</f>
        <v>0</v>
      </c>
      <c r="I54" s="369">
        <f>IF('2. Input Data On-Premise '!$D86="YES",0,IF('2. Input Data On-Premise '!$D86="NO",IF(DelkaProjektu&gt;=I$27,('2. Input Data On-Premise '!$L$88+'2. Input Data On-Premise '!$L$90)/DelkaProjektu,0)))</f>
        <v>0</v>
      </c>
      <c r="J54" s="370">
        <f>SUM(E54:I54)</f>
        <v>0</v>
      </c>
      <c r="K54" s="52"/>
      <c r="L54" s="73" t="s">
        <v>165</v>
      </c>
      <c r="N54" s="35" t="s">
        <v>170</v>
      </c>
    </row>
    <row r="55" spans="2:14" ht="15.75" customHeight="1" x14ac:dyDescent="0.3">
      <c r="B55" s="21" t="s">
        <v>179</v>
      </c>
      <c r="C55" s="376" t="s">
        <v>597</v>
      </c>
      <c r="D55" s="377" t="str">
        <f t="shared" si="0"/>
        <v>EURO</v>
      </c>
      <c r="E55" s="378">
        <f t="shared" ref="E55:J55" si="10">SUM(E56:E68)</f>
        <v>0</v>
      </c>
      <c r="F55" s="378">
        <f t="shared" si="10"/>
        <v>0</v>
      </c>
      <c r="G55" s="378">
        <f t="shared" si="10"/>
        <v>0</v>
      </c>
      <c r="H55" s="378">
        <f t="shared" si="10"/>
        <v>0</v>
      </c>
      <c r="I55" s="378">
        <f t="shared" si="10"/>
        <v>0</v>
      </c>
      <c r="J55" s="378">
        <f t="shared" si="10"/>
        <v>0</v>
      </c>
      <c r="K55" s="52"/>
      <c r="L55" s="73" t="s">
        <v>165</v>
      </c>
    </row>
    <row r="56" spans="2:14" ht="15.75" customHeight="1" x14ac:dyDescent="0.3">
      <c r="B56" s="19" t="s">
        <v>116</v>
      </c>
      <c r="C56" s="379" t="s">
        <v>598</v>
      </c>
      <c r="D56" s="371" t="str">
        <f t="shared" si="0"/>
        <v>EURO</v>
      </c>
      <c r="E56" s="365">
        <f>IF('2. Input Data On-Premise '!$D208="YES",'2. Input Data On-Premise '!$L176+'2. Input Data On-Premise '!$L177,IF('2. Input Data On-Premise '!$D208="NO",IF(DelkaProjektu&gt;=E$27,('2. Input Data On-Premise '!$L176+'2. Input Data On-Premise '!$L177)/DelkaProjektu,0)))</f>
        <v>0</v>
      </c>
      <c r="F56" s="365">
        <f>IF('2. Input Data On-Premise '!$D208="YES",0,IF('2. Input Data On-Premise '!$D208="NO",IF(DelkaProjektu&gt;=F$27,('2. Input Data On-Premise '!$L176+'2. Input Data On-Premise '!$L177)/DelkaProjektu,0)))</f>
        <v>0</v>
      </c>
      <c r="G56" s="365">
        <f>IF('2. Input Data On-Premise '!$D208="YES",0,IF('2. Input Data On-Premise '!$D208="NO",IF(DelkaProjektu&gt;=G$27,('2. Input Data On-Premise '!$L176+'2. Input Data On-Premise '!$L177)/DelkaProjektu,0)))</f>
        <v>0</v>
      </c>
      <c r="H56" s="365">
        <f>IF('2. Input Data On-Premise '!$D208="YES",0,IF('2. Input Data On-Premise '!$D208="NO",IF(DelkaProjektu&gt;=H$27,('2. Input Data On-Premise '!$L176+'2. Input Data On-Premise '!$L177)/DelkaProjektu,0)))</f>
        <v>0</v>
      </c>
      <c r="I56" s="365">
        <f>IF('2. Input Data On-Premise '!$D208="YES",0,IF('2. Input Data On-Premise '!$D208="NO",IF(DelkaProjektu&gt;=I$27,('2. Input Data On-Premise '!$L176+'2. Input Data On-Premise '!$L177)/DelkaProjektu,0)))</f>
        <v>0</v>
      </c>
      <c r="J56" s="380">
        <f t="shared" si="7"/>
        <v>0</v>
      </c>
      <c r="K56" s="52"/>
      <c r="L56" s="73" t="s">
        <v>165</v>
      </c>
      <c r="N56" s="35" t="s">
        <v>166</v>
      </c>
    </row>
    <row r="57" spans="2:14" ht="15.75" customHeight="1" x14ac:dyDescent="0.3">
      <c r="B57" s="19" t="s">
        <v>118</v>
      </c>
      <c r="C57" s="379" t="s">
        <v>599</v>
      </c>
      <c r="D57" s="371" t="str">
        <f t="shared" si="0"/>
        <v>EURO</v>
      </c>
      <c r="E57" s="365">
        <f>IF('2. Input Data On-Premise '!$D208="YES",'2. Input Data On-Premise '!$L178+'2. Input Data On-Premise '!$L179,IF('2. Input Data On-Premise '!$D208="NO",IF(DelkaProjektu&gt;=E$27,('2. Input Data On-Premise '!$L178+'2. Input Data On-Premise '!$L179)/DelkaProjektu,0)))</f>
        <v>0</v>
      </c>
      <c r="F57" s="365">
        <f>IF('2. Input Data On-Premise '!$D208="YES",0,IF('2. Input Data On-Premise '!$D208="NO",IF(DelkaProjektu&gt;=F$27,('2. Input Data On-Premise '!$L178+'2. Input Data On-Premise '!$L179)/DelkaProjektu,0)))</f>
        <v>0</v>
      </c>
      <c r="G57" s="365">
        <f>IF('2. Input Data On-Premise '!$D208="YES",0,IF('2. Input Data On-Premise '!$D208="NO",IF(DelkaProjektu&gt;=G$27,('2. Input Data On-Premise '!$L178+'2. Input Data On-Premise '!$L179)/DelkaProjektu,0)))</f>
        <v>0</v>
      </c>
      <c r="H57" s="365">
        <f>IF('2. Input Data On-Premise '!$D208="YES",0,IF('2. Input Data On-Premise '!$D208="NO",IF(DelkaProjektu&gt;=H$27,('2. Input Data On-Premise '!$L178+'2. Input Data On-Premise '!$L179)/DelkaProjektu,0)))</f>
        <v>0</v>
      </c>
      <c r="I57" s="365">
        <f>IF('2. Input Data On-Premise '!$D208="YES",0,IF('2. Input Data On-Premise '!$D208="NO",IF(DelkaProjektu&gt;=I$27,('2. Input Data On-Premise '!$L178+'2. Input Data On-Premise '!$L179)/DelkaProjektu,0)))</f>
        <v>0</v>
      </c>
      <c r="J57" s="380">
        <f>SUM(E57:I57)</f>
        <v>0</v>
      </c>
      <c r="K57" s="52"/>
      <c r="L57" s="73" t="s">
        <v>165</v>
      </c>
      <c r="N57" s="35" t="s">
        <v>166</v>
      </c>
    </row>
    <row r="58" spans="2:14" ht="15.6" customHeight="1" x14ac:dyDescent="0.3">
      <c r="B58" s="19" t="s">
        <v>117</v>
      </c>
      <c r="C58" s="379" t="s">
        <v>600</v>
      </c>
      <c r="D58" s="379" t="str">
        <f t="shared" si="0"/>
        <v>EURO</v>
      </c>
      <c r="E58" s="365">
        <f>IF('2. Input Data On-Premise '!$D$208="YES",'2. Input Data On-Premise '!$L180+'2. Input Data On-Premise '!$L181+'2. Input Data On-Premise '!$L182+'2. Input Data On-Premise '!$L183,IF('2. Input Data On-Premise '!$D$208="NO",IF(DelkaProjektu&gt;=E$27,('2. Input Data On-Premise '!$L180+'2. Input Data On-Premise '!$L181+'2. Input Data On-Premise '!$L182+'2. Input Data On-Premise '!$L183)/DelkaProjektu,0)))</f>
        <v>0</v>
      </c>
      <c r="F58" s="365">
        <f>IF('2. Input Data On-Premise '!$D$208="YES",0,IF('2. Input Data On-Premise '!$D$208="NO",IF(DelkaProjektu&gt;=F$27,('2. Input Data On-Premise '!$L180+'2. Input Data On-Premise '!$L181+'2. Input Data On-Premise '!$L182+'2. Input Data On-Premise '!$L183)/DelkaProjektu,0)))</f>
        <v>0</v>
      </c>
      <c r="G58" s="365">
        <f>IF('2. Input Data On-Premise '!$D$208="YES",0,IF('2. Input Data On-Premise '!$D$208="NO",IF(DelkaProjektu&gt;=G$27,('2. Input Data On-Premise '!$L180+'2. Input Data On-Premise '!$L181+'2. Input Data On-Premise '!$L182+'2. Input Data On-Premise '!$L183)/DelkaProjektu,0)))</f>
        <v>0</v>
      </c>
      <c r="H58" s="365">
        <f>IF('2. Input Data On-Premise '!$D$208="YES",0,IF('2. Input Data On-Premise '!$D$208="NO",IF(DelkaProjektu&gt;=H$27,('2. Input Data On-Premise '!$L180+'2. Input Data On-Premise '!$L181+'2. Input Data On-Premise '!$L182+'2. Input Data On-Premise '!$L183)/DelkaProjektu,0)))</f>
        <v>0</v>
      </c>
      <c r="I58" s="365">
        <f>IF('2. Input Data On-Premise '!$D$208="YES",0,IF('2. Input Data On-Premise '!$D$208="NO",IF(DelkaProjektu&gt;=I$27,('2. Input Data On-Premise '!$L180+'2. Input Data On-Premise '!$L181+'2. Input Data On-Premise '!$L182+'2. Input Data On-Premise '!$L183)/DelkaProjektu,0)))</f>
        <v>0</v>
      </c>
      <c r="J58" s="380">
        <f t="shared" ref="J58:J66" si="11">SUM(E58:I58)</f>
        <v>0</v>
      </c>
      <c r="K58" s="52"/>
      <c r="L58" s="73" t="s">
        <v>165</v>
      </c>
      <c r="N58" s="35" t="s">
        <v>166</v>
      </c>
    </row>
    <row r="59" spans="2:14" ht="27" customHeight="1" x14ac:dyDescent="0.3">
      <c r="B59" s="19" t="s">
        <v>180</v>
      </c>
      <c r="C59" s="379" t="s">
        <v>601</v>
      </c>
      <c r="D59" s="379" t="str">
        <f t="shared" si="0"/>
        <v>EURO</v>
      </c>
      <c r="E59" s="365">
        <f>IF('2. Input Data On-Premise '!$D$208="YES",'2. Input Data On-Premise '!$L184+'2. Input Data On-Premise '!$L185+'2. Input Data On-Premise '!$L186+'2. Input Data On-Premise '!$L187,IF('2. Input Data On-Premise '!$D$208="NO",IF(DelkaProjektu&gt;=E$27,('2. Input Data On-Premise '!$L184+'2. Input Data On-Premise '!$L185+'2. Input Data On-Premise '!$L186+'2. Input Data On-Premise '!$L187)/DelkaProjektu,0)))</f>
        <v>0</v>
      </c>
      <c r="F59" s="365">
        <f>IF('2. Input Data On-Premise '!$D$208="YES",0,IF('2. Input Data On-Premise '!$D$208="NO",IF(DelkaProjektu&gt;=F$27,('2. Input Data On-Premise '!$L184+'2. Input Data On-Premise '!$L185+'2. Input Data On-Premise '!$L186+'2. Input Data On-Premise '!$L187)/DelkaProjektu,0)))</f>
        <v>0</v>
      </c>
      <c r="G59" s="365">
        <f>IF('2. Input Data On-Premise '!$D$208="YES",0,IF('2. Input Data On-Premise '!$D$208="NO",IF(DelkaProjektu&gt;=G$27,('2. Input Data On-Premise '!$L184+'2. Input Data On-Premise '!$L185+'2. Input Data On-Premise '!$L186+'2. Input Data On-Premise '!$L187)/DelkaProjektu,0)))</f>
        <v>0</v>
      </c>
      <c r="H59" s="365">
        <f>IF('2. Input Data On-Premise '!$D$208="YES",0,IF('2. Input Data On-Premise '!$D$208="NO",IF(DelkaProjektu&gt;=H$27,('2. Input Data On-Premise '!$L184+'2. Input Data On-Premise '!$L185+'2. Input Data On-Premise '!$L186+'2. Input Data On-Premise '!$L187)/DelkaProjektu,0)))</f>
        <v>0</v>
      </c>
      <c r="I59" s="365">
        <f>IF('2. Input Data On-Premise '!$D$208="YES",0,IF('2. Input Data On-Premise '!$D$208="NO",IF(DelkaProjektu&gt;=I$27,('2. Input Data On-Premise '!$L184+'2. Input Data On-Premise '!$L185+'2. Input Data On-Premise '!$L186+'2. Input Data On-Premise '!$L187)/DelkaProjektu,0)))</f>
        <v>0</v>
      </c>
      <c r="J59" s="380">
        <f t="shared" si="11"/>
        <v>0</v>
      </c>
      <c r="K59" s="52"/>
      <c r="L59" s="73" t="s">
        <v>165</v>
      </c>
      <c r="N59" s="35" t="s">
        <v>166</v>
      </c>
    </row>
    <row r="60" spans="2:14" ht="17.399999999999999" customHeight="1" x14ac:dyDescent="0.3">
      <c r="B60" s="19" t="s">
        <v>120</v>
      </c>
      <c r="C60" s="379" t="s">
        <v>444</v>
      </c>
      <c r="D60" s="379" t="str">
        <f t="shared" ref="D60:D91" si="12">JenotkaMěny</f>
        <v>EURO</v>
      </c>
      <c r="E60" s="365">
        <f>IF('2. Input Data On-Premise '!$D$208="YES",'2. Input Data On-Premise '!$L188+'2. Input Data On-Premise '!$L189,IF('2. Input Data On-Premise '!$D$208="NO",IF(DelkaProjektu&gt;=E$27,('2. Input Data On-Premise '!$L188+'2. Input Data On-Premise '!$L189)/DelkaProjektu,0)))</f>
        <v>0</v>
      </c>
      <c r="F60" s="365">
        <f>IF('2. Input Data On-Premise '!$D$208="YES",0,IF('2. Input Data On-Premise '!$D$208="NO",IF(DelkaProjektu&gt;=F$27,('2. Input Data On-Premise '!$L188+'2. Input Data On-Premise '!$L189)/DelkaProjektu,0)))</f>
        <v>0</v>
      </c>
      <c r="G60" s="365">
        <f>IF('2. Input Data On-Premise '!$D$208="YES",0,IF('2. Input Data On-Premise '!$D$208="NO",IF(DelkaProjektu&gt;=G$27,('2. Input Data On-Premise '!$L188+'2. Input Data On-Premise '!$L189)/DelkaProjektu,0)))</f>
        <v>0</v>
      </c>
      <c r="H60" s="365">
        <f>IF('2. Input Data On-Premise '!$D$208="YES",0,IF('2. Input Data On-Premise '!$D$208="NO",IF(DelkaProjektu&gt;=H$27,('2. Input Data On-Premise '!$L188+'2. Input Data On-Premise '!$L189)/DelkaProjektu,0)))</f>
        <v>0</v>
      </c>
      <c r="I60" s="365">
        <f>IF('2. Input Data On-Premise '!$D$208="YES",0,IF('2. Input Data On-Premise '!$D$208="NO",IF(DelkaProjektu&gt;=I$27,('2. Input Data On-Premise '!$L188+'2. Input Data On-Premise '!$L189)/DelkaProjektu,0)))</f>
        <v>0</v>
      </c>
      <c r="J60" s="380">
        <f t="shared" si="11"/>
        <v>0</v>
      </c>
      <c r="K60" s="52"/>
      <c r="L60" s="73" t="s">
        <v>165</v>
      </c>
      <c r="N60" s="35" t="s">
        <v>166</v>
      </c>
    </row>
    <row r="61" spans="2:14" ht="15.75" customHeight="1" x14ac:dyDescent="0.3">
      <c r="B61" s="19" t="s">
        <v>121</v>
      </c>
      <c r="C61" s="379" t="s">
        <v>602</v>
      </c>
      <c r="D61" s="371" t="str">
        <f t="shared" si="12"/>
        <v>EURO</v>
      </c>
      <c r="E61" s="365">
        <f>IF('2. Input Data On-Premise '!$D$208="YES",'2. Input Data On-Premise '!$L190+'2. Input Data On-Premise '!$L191,IF('2. Input Data On-Premise '!$D$208="NO",IF(DelkaProjektu&gt;=E$27,('2. Input Data On-Premise '!$L190+'2. Input Data On-Premise '!$L191)/DelkaProjektu,0)))</f>
        <v>0</v>
      </c>
      <c r="F61" s="365">
        <f>IF('2. Input Data On-Premise '!$D$208="YES",0,IF('2. Input Data On-Premise '!$D$208="NO",IF(DelkaProjektu&gt;=F$27,('2. Input Data On-Premise '!$L190+'2. Input Data On-Premise '!$L191)/DelkaProjektu,0)))</f>
        <v>0</v>
      </c>
      <c r="G61" s="365">
        <f>IF('2. Input Data On-Premise '!$D$208="YES",0,IF('2. Input Data On-Premise '!$D$208="NO",IF(DelkaProjektu&gt;=G$27,('2. Input Data On-Premise '!$L190+'2. Input Data On-Premise '!$L191)/DelkaProjektu,0)))</f>
        <v>0</v>
      </c>
      <c r="H61" s="365">
        <f>IF('2. Input Data On-Premise '!$D$208="YES",0,IF('2. Input Data On-Premise '!$D$208="NO",IF(DelkaProjektu&gt;=H$27,('2. Input Data On-Premise '!$L190+'2. Input Data On-Premise '!$L191)/DelkaProjektu,0)))</f>
        <v>0</v>
      </c>
      <c r="I61" s="365">
        <f>IF('2. Input Data On-Premise '!$D$208="YES",0,IF('2. Input Data On-Premise '!$D$208="NO",IF(DelkaProjektu&gt;=I$27,('2. Input Data On-Premise '!$L190+'2. Input Data On-Premise '!$L191)/DelkaProjektu,0)))</f>
        <v>0</v>
      </c>
      <c r="J61" s="380">
        <f t="shared" si="11"/>
        <v>0</v>
      </c>
      <c r="K61" s="52"/>
      <c r="L61" s="73" t="s">
        <v>165</v>
      </c>
      <c r="N61" s="35" t="s">
        <v>166</v>
      </c>
    </row>
    <row r="62" spans="2:14" ht="15" customHeight="1" x14ac:dyDescent="0.3">
      <c r="B62" s="19" t="s">
        <v>122</v>
      </c>
      <c r="C62" s="379" t="s">
        <v>603</v>
      </c>
      <c r="D62" s="371" t="str">
        <f t="shared" si="12"/>
        <v>EURO</v>
      </c>
      <c r="E62" s="365">
        <f>IF('2. Input Data On-Premise '!$D$208="YES",'2. Input Data On-Premise '!$L192+'2. Input Data On-Premise '!$L193,IF('2. Input Data On-Premise '!$D$208="NO",IF(DelkaProjektu&gt;=E$27,('2. Input Data On-Premise '!$L192+'2. Input Data On-Premise '!$L193)/DelkaProjektu,0)))</f>
        <v>0</v>
      </c>
      <c r="F62" s="365">
        <f>IF('2. Input Data On-Premise '!$D$208="YES",0,IF('2. Input Data On-Premise '!$D$208="NO",IF(DelkaProjektu&gt;=F$27,('2. Input Data On-Premise '!$L192+'2. Input Data On-Premise '!$L193)/DelkaProjektu,0)))</f>
        <v>0</v>
      </c>
      <c r="G62" s="365">
        <f>IF('2. Input Data On-Premise '!$D$208="YES",0,IF('2. Input Data On-Premise '!$D$208="NO",IF(DelkaProjektu&gt;=G$27,('2. Input Data On-Premise '!$L192+'2. Input Data On-Premise '!$L193)/DelkaProjektu,0)))</f>
        <v>0</v>
      </c>
      <c r="H62" s="365">
        <f>IF('2. Input Data On-Premise '!$D$208="YES",0,IF('2. Input Data On-Premise '!$D$208="NO",IF(DelkaProjektu&gt;=H$27,('2. Input Data On-Premise '!$L192+'2. Input Data On-Premise '!$L193)/DelkaProjektu,0)))</f>
        <v>0</v>
      </c>
      <c r="I62" s="365">
        <f>IF('2. Input Data On-Premise '!$D$208="YES",0,IF('2. Input Data On-Premise '!$D$208="NO",IF(DelkaProjektu&gt;=I$27,('2. Input Data On-Premise '!$L192+'2. Input Data On-Premise '!$L193)/DelkaProjektu,0)))</f>
        <v>0</v>
      </c>
      <c r="J62" s="380">
        <f t="shared" si="11"/>
        <v>0</v>
      </c>
      <c r="K62" s="52"/>
      <c r="L62" s="73" t="s">
        <v>165</v>
      </c>
      <c r="N62" s="35" t="s">
        <v>166</v>
      </c>
    </row>
    <row r="63" spans="2:14" ht="15" customHeight="1" x14ac:dyDescent="0.3">
      <c r="B63" s="19" t="s">
        <v>123</v>
      </c>
      <c r="C63" s="379" t="s">
        <v>447</v>
      </c>
      <c r="D63" s="371" t="str">
        <f t="shared" si="12"/>
        <v>EURO</v>
      </c>
      <c r="E63" s="365">
        <f>IF('2. Input Data On-Premise '!$D$208="YES",'2. Input Data On-Premise '!$L194+'2. Input Data On-Premise '!$L195,IF('2. Input Data On-Premise '!$D$208="NO",IF(DelkaProjektu&gt;=E$27,('2. Input Data On-Premise '!$L194+'2. Input Data On-Premise '!$L195)/DelkaProjektu,0)))</f>
        <v>0</v>
      </c>
      <c r="F63" s="365">
        <f>IF('2. Input Data On-Premise '!$D$208="YES",0,IF('2. Input Data On-Premise '!$D$208="NO",IF(DelkaProjektu&gt;=F$27,('2. Input Data On-Premise '!$L194+'2. Input Data On-Premise '!$L195)/DelkaProjektu,0)))</f>
        <v>0</v>
      </c>
      <c r="G63" s="365">
        <f>IF('2. Input Data On-Premise '!$D$208="YES",0,IF('2. Input Data On-Premise '!$D$208="NO",IF(DelkaProjektu&gt;=G$27,('2. Input Data On-Premise '!$L194+'2. Input Data On-Premise '!$L195)/DelkaProjektu,0)))</f>
        <v>0</v>
      </c>
      <c r="H63" s="365">
        <f>IF('2. Input Data On-Premise '!$D$208="YES",0,IF('2. Input Data On-Premise '!$D$208="NO",IF(DelkaProjektu&gt;=H$27,('2. Input Data On-Premise '!$L194+'2. Input Data On-Premise '!$L195)/DelkaProjektu,0)))</f>
        <v>0</v>
      </c>
      <c r="I63" s="365">
        <f>IF('2. Input Data On-Premise '!$D$208="YES",0,IF('2. Input Data On-Premise '!$D$208="NO",IF(DelkaProjektu&gt;=I$27,('2. Input Data On-Premise '!$L194+'2. Input Data On-Premise '!$L195)/DelkaProjektu,0)))</f>
        <v>0</v>
      </c>
      <c r="J63" s="380">
        <f t="shared" si="11"/>
        <v>0</v>
      </c>
      <c r="K63" s="52"/>
      <c r="L63" s="73" t="s">
        <v>165</v>
      </c>
      <c r="N63" s="35" t="s">
        <v>166</v>
      </c>
    </row>
    <row r="64" spans="2:14" ht="15" customHeight="1" x14ac:dyDescent="0.3">
      <c r="B64" s="19" t="s">
        <v>124</v>
      </c>
      <c r="C64" s="379" t="s">
        <v>448</v>
      </c>
      <c r="D64" s="371" t="str">
        <f t="shared" si="12"/>
        <v>EURO</v>
      </c>
      <c r="E64" s="365">
        <f>IF('2. Input Data On-Premise '!$D$208="YES",'2. Input Data On-Premise '!$L196+'2. Input Data On-Premise '!$L197,IF('2. Input Data On-Premise '!$D$208="NO",IF(DelkaProjektu&gt;=E$27,('2. Input Data On-Premise '!$L196+'2. Input Data On-Premise '!$L197)/DelkaProjektu,0)))</f>
        <v>0</v>
      </c>
      <c r="F64" s="365">
        <f>IF('2. Input Data On-Premise '!$D$208="YES",0,IF('2. Input Data On-Premise '!$D$208="NO",IF(DelkaProjektu&gt;=F$27,('2. Input Data On-Premise '!$L196+'2. Input Data On-Premise '!$L197)/DelkaProjektu,0)))</f>
        <v>0</v>
      </c>
      <c r="G64" s="365">
        <f>IF('2. Input Data On-Premise '!$D$208="YES",0,IF('2. Input Data On-Premise '!$D$208="NO",IF(DelkaProjektu&gt;=G$27,('2. Input Data On-Premise '!$L196+'2. Input Data On-Premise '!$L197)/DelkaProjektu,0)))</f>
        <v>0</v>
      </c>
      <c r="H64" s="365">
        <f>IF('2. Input Data On-Premise '!$D$208="YES",0,IF('2. Input Data On-Premise '!$D$208="NO",IF(DelkaProjektu&gt;=H$27,('2. Input Data On-Premise '!$L196+'2. Input Data On-Premise '!$L197)/DelkaProjektu,0)))</f>
        <v>0</v>
      </c>
      <c r="I64" s="365">
        <f>IF('2. Input Data On-Premise '!$D$208="YES",0,IF('2. Input Data On-Premise '!$D$208="NO",IF(DelkaProjektu&gt;=I$27,('2. Input Data On-Premise '!$L196+'2. Input Data On-Premise '!$L197)/DelkaProjektu,0)))</f>
        <v>0</v>
      </c>
      <c r="J64" s="380">
        <f t="shared" si="11"/>
        <v>0</v>
      </c>
      <c r="K64" s="52"/>
      <c r="L64" s="73" t="s">
        <v>165</v>
      </c>
      <c r="N64" s="35" t="s">
        <v>166</v>
      </c>
    </row>
    <row r="65" spans="2:14" ht="15" customHeight="1" x14ac:dyDescent="0.3">
      <c r="B65" s="19" t="s">
        <v>125</v>
      </c>
      <c r="C65" s="379" t="s">
        <v>449</v>
      </c>
      <c r="D65" s="371" t="str">
        <f t="shared" si="12"/>
        <v>EURO</v>
      </c>
      <c r="E65" s="365">
        <f>IF('2. Input Data On-Premise '!$D$208="YES",'2. Input Data On-Premise '!$L198+'2. Input Data On-Premise '!$L199,IF('2. Input Data On-Premise '!$D$208="NO",IF(DelkaProjektu&gt;=E$27,('2. Input Data On-Premise '!$L198+'2. Input Data On-Premise '!$L199)/DelkaProjektu,0)))</f>
        <v>0</v>
      </c>
      <c r="F65" s="365">
        <f>IF('2. Input Data On-Premise '!$D$208="YES",0,IF('2. Input Data On-Premise '!$D$208="NO",IF(DelkaProjektu&gt;=F$27,('2. Input Data On-Premise '!$L198+'2. Input Data On-Premise '!$L199)/DelkaProjektu,0)))</f>
        <v>0</v>
      </c>
      <c r="G65" s="365">
        <f>IF('2. Input Data On-Premise '!$D$208="YES",0,IF('2. Input Data On-Premise '!$D$208="NO",IF(DelkaProjektu&gt;=G$27,('2. Input Data On-Premise '!$L198+'2. Input Data On-Premise '!$L199)/DelkaProjektu,0)))</f>
        <v>0</v>
      </c>
      <c r="H65" s="365">
        <f>IF('2. Input Data On-Premise '!$D$208="YES",0,IF('2. Input Data On-Premise '!$D$208="NO",IF(DelkaProjektu&gt;=H$27,('2. Input Data On-Premise '!$L198+'2. Input Data On-Premise '!$L199)/DelkaProjektu,0)))</f>
        <v>0</v>
      </c>
      <c r="I65" s="365">
        <f>IF('2. Input Data On-Premise '!$D$208="YES",0,IF('2. Input Data On-Premise '!$D$208="NO",IF(DelkaProjektu&gt;=I$27,('2. Input Data On-Premise '!$L198+'2. Input Data On-Premise '!$L199)/DelkaProjektu,0)))</f>
        <v>0</v>
      </c>
      <c r="J65" s="380">
        <f t="shared" si="11"/>
        <v>0</v>
      </c>
      <c r="K65" s="52"/>
      <c r="L65" s="73" t="s">
        <v>165</v>
      </c>
      <c r="N65" s="35" t="s">
        <v>166</v>
      </c>
    </row>
    <row r="66" spans="2:14" ht="15" customHeight="1" x14ac:dyDescent="0.3">
      <c r="B66" s="19" t="s">
        <v>126</v>
      </c>
      <c r="C66" s="379" t="s">
        <v>450</v>
      </c>
      <c r="D66" s="371" t="str">
        <f t="shared" si="12"/>
        <v>EURO</v>
      </c>
      <c r="E66" s="365">
        <f>IF('2. Input Data On-Premise '!$D$208="YES",'2. Input Data On-Premise '!$L200+'2. Input Data On-Premise '!$L201,IF('2. Input Data On-Premise '!$D$208="NO",IF(DelkaProjektu&gt;=E$27,('2. Input Data On-Premise '!$L200+'2. Input Data On-Premise '!$L201)/DelkaProjektu,0)))</f>
        <v>0</v>
      </c>
      <c r="F66" s="365">
        <f>IF('2. Input Data On-Premise '!$D$208="YES",0,IF('2. Input Data On-Premise '!$D$208="NO",IF(DelkaProjektu&gt;=F$27,('2. Input Data On-Premise '!$L200+'2. Input Data On-Premise '!$L201)/DelkaProjektu,0)))</f>
        <v>0</v>
      </c>
      <c r="G66" s="365">
        <f>IF('2. Input Data On-Premise '!$D$208="YES",0,IF('2. Input Data On-Premise '!$D$208="NO",IF(DelkaProjektu&gt;=G$27,('2. Input Data On-Premise '!$L200+'2. Input Data On-Premise '!$L201)/DelkaProjektu,0)))</f>
        <v>0</v>
      </c>
      <c r="H66" s="365">
        <f>IF('2. Input Data On-Premise '!$D$208="YES",0,IF('2. Input Data On-Premise '!$D$208="NO",IF(DelkaProjektu&gt;=H$27,('2. Input Data On-Premise '!$L200+'2. Input Data On-Premise '!$L201)/DelkaProjektu,0)))</f>
        <v>0</v>
      </c>
      <c r="I66" s="365">
        <f>IF('2. Input Data On-Premise '!$D$208="YES",0,IF('2. Input Data On-Premise '!$D$208="NO",IF(DelkaProjektu&gt;=I$27,('2. Input Data On-Premise '!$L200+'2. Input Data On-Premise '!$L201)/DelkaProjektu,0)))</f>
        <v>0</v>
      </c>
      <c r="J66" s="380">
        <f t="shared" si="11"/>
        <v>0</v>
      </c>
      <c r="K66" s="52"/>
      <c r="L66" s="73" t="s">
        <v>165</v>
      </c>
      <c r="N66" s="35" t="s">
        <v>166</v>
      </c>
    </row>
    <row r="67" spans="2:14" ht="15" customHeight="1" x14ac:dyDescent="0.3">
      <c r="B67" s="19" t="s">
        <v>127</v>
      </c>
      <c r="C67" s="379" t="s">
        <v>181</v>
      </c>
      <c r="D67" s="371" t="str">
        <f t="shared" si="12"/>
        <v>EURO</v>
      </c>
      <c r="E67" s="365">
        <f>IF('2. Input Data On-Premise '!$D$208="YES",'2. Input Data On-Premise '!$L202+'2. Input Data On-Premise '!$L203,IF('2. Input Data On-Premise '!$D$208="NO",IF(DelkaProjektu&gt;=E$27,('2. Input Data On-Premise '!$L202+'2. Input Data On-Premise '!$L203)/DelkaProjektu,0)))</f>
        <v>0</v>
      </c>
      <c r="F67" s="365">
        <f>IF('2. Input Data On-Premise '!$D$208="YES",0,IF('2. Input Data On-Premise '!$D$208="NO",IF(DelkaProjektu&gt;=F$27,('2. Input Data On-Premise '!$L202+'2. Input Data On-Premise '!$L203)/DelkaProjektu,0)))</f>
        <v>0</v>
      </c>
      <c r="G67" s="365">
        <f>IF('2. Input Data On-Premise '!$D$208="YES",0,IF('2. Input Data On-Premise '!$D$208="NO",IF(DelkaProjektu&gt;=G$27,('2. Input Data On-Premise '!$L202+'2. Input Data On-Premise '!$L203)/DelkaProjektu,0)))</f>
        <v>0</v>
      </c>
      <c r="H67" s="365">
        <f>IF('2. Input Data On-Premise '!$D$208="YES",0,IF('2. Input Data On-Premise '!$D$208="NO",IF(DelkaProjektu&gt;=H$27,('2. Input Data On-Premise '!$L202+'2. Input Data On-Premise '!$L203)/DelkaProjektu,0)))</f>
        <v>0</v>
      </c>
      <c r="I67" s="365">
        <f>IF('2. Input Data On-Premise '!$D$208="YES",0,IF('2. Input Data On-Premise '!$D$208="NO",IF(DelkaProjektu&gt;=I$27,('2. Input Data On-Premise '!$L202+'2. Input Data On-Premise '!$L203)/DelkaProjektu,0)))</f>
        <v>0</v>
      </c>
      <c r="J67" s="380">
        <f>SUM(E67:I67)</f>
        <v>0</v>
      </c>
      <c r="K67" s="52"/>
      <c r="L67" s="73" t="s">
        <v>165</v>
      </c>
      <c r="N67" s="35" t="s">
        <v>166</v>
      </c>
    </row>
    <row r="68" spans="2:14" ht="15" customHeight="1" x14ac:dyDescent="0.3">
      <c r="B68" s="19" t="s">
        <v>128</v>
      </c>
      <c r="C68" s="379" t="s">
        <v>604</v>
      </c>
      <c r="D68" s="371" t="str">
        <f t="shared" si="12"/>
        <v>EURO</v>
      </c>
      <c r="E68" s="365">
        <f>IF('2. Input Data On-Premise '!$D$208="YES",'2. Input Data On-Premise '!$L205+'2. Input Data On-Premise '!$L204,IF('2. Input Data On-Premise '!$D$208="NO",IF(DelkaProjektu&gt;=E$27,('2. Input Data On-Premise '!$L205+'2. Input Data On-Premise '!$L204)/DelkaProjektu,0)))</f>
        <v>0</v>
      </c>
      <c r="F68" s="365">
        <f>IF('2. Input Data On-Premise '!$D$208="YES",0,IF('2. Input Data On-Premise '!$D$208="NO",IF(DelkaProjektu&gt;=F$27,('2. Input Data On-Premise '!$L205+'2. Input Data On-Premise '!$L204)/DelkaProjektu,0)))</f>
        <v>0</v>
      </c>
      <c r="G68" s="365">
        <f>IF('2. Input Data On-Premise '!$D$208="YES",0,IF('2. Input Data On-Premise '!$D$208="NO",IF(DelkaProjektu&gt;=G$27,('2. Input Data On-Premise '!$L205+'2. Input Data On-Premise '!$L204)/DelkaProjektu,0)))</f>
        <v>0</v>
      </c>
      <c r="H68" s="365">
        <f>IF('2. Input Data On-Premise '!$D$208="YES",0,IF('2. Input Data On-Premise '!$D$208="NO",IF(DelkaProjektu&gt;=H$27,('2. Input Data On-Premise '!$L205+'2. Input Data On-Premise '!$L204)/DelkaProjektu,0)))</f>
        <v>0</v>
      </c>
      <c r="I68" s="365">
        <f>IF('2. Input Data On-Premise '!$D$208="YES",0,IF('2. Input Data On-Premise '!$D$208="NO",IF(DelkaProjektu&gt;=I$27,('2. Input Data On-Premise '!$L205+'2. Input Data On-Premise '!$L204)/DelkaProjektu,0)))</f>
        <v>0</v>
      </c>
      <c r="J68" s="380">
        <f>SUM(E68:I68)</f>
        <v>0</v>
      </c>
      <c r="K68" s="52"/>
      <c r="L68" s="73" t="s">
        <v>165</v>
      </c>
      <c r="N68" s="35" t="s">
        <v>166</v>
      </c>
    </row>
    <row r="69" spans="2:14" ht="15" customHeight="1" x14ac:dyDescent="0.3">
      <c r="B69" s="21" t="s">
        <v>182</v>
      </c>
      <c r="C69" s="377" t="s">
        <v>605</v>
      </c>
      <c r="D69" s="377" t="str">
        <f t="shared" si="12"/>
        <v>EURO</v>
      </c>
      <c r="E69" s="378">
        <f>E84+E77+E70+E92+E93</f>
        <v>0</v>
      </c>
      <c r="F69" s="378">
        <f t="shared" ref="F69:I69" si="13">F84+F77+F70+F92+F93</f>
        <v>0</v>
      </c>
      <c r="G69" s="378">
        <f t="shared" si="13"/>
        <v>0</v>
      </c>
      <c r="H69" s="378">
        <f t="shared" si="13"/>
        <v>0</v>
      </c>
      <c r="I69" s="378">
        <f t="shared" si="13"/>
        <v>0</v>
      </c>
      <c r="J69" s="378">
        <f>SUM(E69:I69)</f>
        <v>0</v>
      </c>
      <c r="K69" s="52"/>
      <c r="L69" s="73" t="s">
        <v>165</v>
      </c>
    </row>
    <row r="70" spans="2:14" ht="15" customHeight="1" x14ac:dyDescent="0.3">
      <c r="B70" s="19" t="s">
        <v>183</v>
      </c>
      <c r="C70" s="381" t="s">
        <v>606</v>
      </c>
      <c r="D70" s="381" t="str">
        <f t="shared" si="12"/>
        <v>EURO</v>
      </c>
      <c r="E70" s="365">
        <f>SUM(E71:E76)</f>
        <v>0</v>
      </c>
      <c r="F70" s="365">
        <f t="shared" ref="F70:I70" si="14">SUM(F71:F76)</f>
        <v>0</v>
      </c>
      <c r="G70" s="365">
        <f t="shared" si="14"/>
        <v>0</v>
      </c>
      <c r="H70" s="365">
        <f t="shared" si="14"/>
        <v>0</v>
      </c>
      <c r="I70" s="365">
        <f t="shared" si="14"/>
        <v>0</v>
      </c>
      <c r="J70" s="366">
        <f>SUM(E70:I70)</f>
        <v>0</v>
      </c>
      <c r="K70" s="52"/>
      <c r="L70" s="73" t="s">
        <v>165</v>
      </c>
      <c r="N70" s="35" t="s">
        <v>166</v>
      </c>
    </row>
    <row r="71" spans="2:14" ht="15" customHeight="1" outlineLevel="1" x14ac:dyDescent="0.3">
      <c r="B71" s="20" t="s">
        <v>93</v>
      </c>
      <c r="C71" s="382" t="s">
        <v>607</v>
      </c>
      <c r="D71" s="382" t="str">
        <f t="shared" si="12"/>
        <v>EURO</v>
      </c>
      <c r="E71" s="372">
        <f>IF(DelkaProjektu&gt;=E$27,'2. Input Data On-Premise '!$L134,0)</f>
        <v>0</v>
      </c>
      <c r="F71" s="372">
        <f>IF(DelkaProjektu&gt;=F$27,'2. Input Data On-Premise '!$L134,0)</f>
        <v>0</v>
      </c>
      <c r="G71" s="372">
        <f>IF(DelkaProjektu&gt;=G$27,'2. Input Data On-Premise '!$L134,0)</f>
        <v>0</v>
      </c>
      <c r="H71" s="372">
        <f>IF(DelkaProjektu&gt;=H$27,'2. Input Data On-Premise '!$L134,0)</f>
        <v>0</v>
      </c>
      <c r="I71" s="372">
        <f>IF(DelkaProjektu&gt;=I$27,'2. Input Data On-Premise '!$L134,0)</f>
        <v>0</v>
      </c>
      <c r="J71" s="383">
        <f t="shared" ref="J71:J76" si="15">SUM(E71:I71)</f>
        <v>0</v>
      </c>
      <c r="K71" s="52"/>
      <c r="L71" s="73" t="s">
        <v>165</v>
      </c>
      <c r="N71" s="35" t="s">
        <v>166</v>
      </c>
    </row>
    <row r="72" spans="2:14" ht="15" customHeight="1" outlineLevel="1" x14ac:dyDescent="0.3">
      <c r="B72" s="20" t="s">
        <v>95</v>
      </c>
      <c r="C72" s="382" t="s">
        <v>608</v>
      </c>
      <c r="D72" s="382" t="str">
        <f t="shared" si="12"/>
        <v>EURO</v>
      </c>
      <c r="E72" s="372">
        <f>IF(DelkaProjektu&gt;=E$27,'2. Input Data On-Premise '!$L136+'2. Input Data On-Premise '!$L142,0)</f>
        <v>0</v>
      </c>
      <c r="F72" s="372">
        <f>IF(DelkaProjektu&gt;=F$27,'2. Input Data On-Premise '!$L136+'2. Input Data On-Premise '!$L142,0)</f>
        <v>0</v>
      </c>
      <c r="G72" s="372">
        <f>IF(DelkaProjektu&gt;=G$27,'2. Input Data On-Premise '!$L136+'2. Input Data On-Premise '!$L142,0)</f>
        <v>0</v>
      </c>
      <c r="H72" s="372">
        <f>IF(DelkaProjektu&gt;=H$27,'2. Input Data On-Premise '!$L136+'2. Input Data On-Premise '!$L142,0)</f>
        <v>0</v>
      </c>
      <c r="I72" s="372">
        <f>IF(DelkaProjektu&gt;=I$27,'2. Input Data On-Premise '!$L136+'2. Input Data On-Premise '!$L142,0)</f>
        <v>0</v>
      </c>
      <c r="J72" s="383">
        <f t="shared" si="15"/>
        <v>0</v>
      </c>
      <c r="K72" s="52"/>
      <c r="L72" s="73" t="s">
        <v>165</v>
      </c>
      <c r="N72" s="35" t="s">
        <v>166</v>
      </c>
    </row>
    <row r="73" spans="2:14" ht="15" customHeight="1" outlineLevel="1" x14ac:dyDescent="0.3">
      <c r="B73" s="20" t="s">
        <v>97</v>
      </c>
      <c r="C73" s="382" t="s">
        <v>609</v>
      </c>
      <c r="D73" s="382" t="str">
        <f t="shared" si="12"/>
        <v>EURO</v>
      </c>
      <c r="E73" s="372">
        <f>IF(DelkaProjektu&gt;=E$27,'2. Input Data On-Premise '!$L138,0)</f>
        <v>0</v>
      </c>
      <c r="F73" s="372">
        <f>IF(DelkaProjektu&gt;=F$27,'2. Input Data On-Premise '!$L138,0)</f>
        <v>0</v>
      </c>
      <c r="G73" s="372">
        <f>IF(DelkaProjektu&gt;=G$27,'2. Input Data On-Premise '!$L138,0)</f>
        <v>0</v>
      </c>
      <c r="H73" s="372">
        <f>IF(DelkaProjektu&gt;=H$27,'2. Input Data On-Premise '!$L138,0)</f>
        <v>0</v>
      </c>
      <c r="I73" s="372">
        <f>IF(DelkaProjektu&gt;=I$27,'2. Input Data On-Premise '!$L138,0)</f>
        <v>0</v>
      </c>
      <c r="J73" s="383">
        <f t="shared" si="15"/>
        <v>0</v>
      </c>
      <c r="K73" s="52"/>
      <c r="L73" s="73" t="s">
        <v>165</v>
      </c>
      <c r="N73" s="35" t="s">
        <v>166</v>
      </c>
    </row>
    <row r="74" spans="2:14" ht="15" customHeight="1" outlineLevel="1" x14ac:dyDescent="0.3">
      <c r="B74" s="20" t="s">
        <v>99</v>
      </c>
      <c r="C74" s="382" t="s">
        <v>610</v>
      </c>
      <c r="D74" s="382" t="str">
        <f t="shared" si="12"/>
        <v>EURO</v>
      </c>
      <c r="E74" s="372">
        <f>IF(DelkaProjektu&gt;=E$27,'2. Input Data On-Premise '!$L140,0)</f>
        <v>0</v>
      </c>
      <c r="F74" s="372">
        <f>IF(DelkaProjektu&gt;=F$27,'2. Input Data On-Premise '!$L140,0)</f>
        <v>0</v>
      </c>
      <c r="G74" s="372">
        <f>IF(DelkaProjektu&gt;=G$27,'2. Input Data On-Premise '!$L140,0)</f>
        <v>0</v>
      </c>
      <c r="H74" s="372">
        <f>IF(DelkaProjektu&gt;=H$27,'2. Input Data On-Premise '!$L140,0)</f>
        <v>0</v>
      </c>
      <c r="I74" s="372">
        <f>IF(DelkaProjektu&gt;=I$27,'2. Input Data On-Premise '!$L140,0)</f>
        <v>0</v>
      </c>
      <c r="J74" s="383">
        <f t="shared" si="15"/>
        <v>0</v>
      </c>
      <c r="K74" s="52"/>
      <c r="L74" s="73" t="s">
        <v>165</v>
      </c>
      <c r="N74" s="35" t="s">
        <v>166</v>
      </c>
    </row>
    <row r="75" spans="2:14" ht="15" customHeight="1" outlineLevel="1" x14ac:dyDescent="0.3">
      <c r="B75" s="20" t="s">
        <v>90</v>
      </c>
      <c r="C75" s="382" t="s">
        <v>611</v>
      </c>
      <c r="D75" s="382" t="str">
        <f t="shared" si="12"/>
        <v>EURO</v>
      </c>
      <c r="E75" s="372">
        <f>IF(DelkaProjektu&gt;=E$27,'2. Input Data On-Premise '!$L125+'2. Input Data On-Premise '!$L126+'2. Input Data On-Premise '!$L127+'2. Input Data On-Premise '!$L128,0)</f>
        <v>0</v>
      </c>
      <c r="F75" s="372">
        <f>IF(DelkaProjektu&gt;=F$27,'2. Input Data On-Premise '!$L125+'2. Input Data On-Premise '!$L126+'2. Input Data On-Premise '!$L127+'2. Input Data On-Premise '!$L128,0)</f>
        <v>0</v>
      </c>
      <c r="G75" s="372">
        <f>IF(DelkaProjektu&gt;=G$27,'2. Input Data On-Premise '!$L125+'2. Input Data On-Premise '!$L126+'2. Input Data On-Premise '!$L127+'2. Input Data On-Premise '!$L128,0)</f>
        <v>0</v>
      </c>
      <c r="H75" s="372">
        <f>IF(DelkaProjektu&gt;=H$27,'2. Input Data On-Premise '!$L125+'2. Input Data On-Premise '!$L126+'2. Input Data On-Premise '!$L127+'2. Input Data On-Premise '!$L128,0)</f>
        <v>0</v>
      </c>
      <c r="I75" s="372">
        <f>IF(DelkaProjektu&gt;=I$27,'2. Input Data On-Premise '!$L125+'2. Input Data On-Premise '!$L126+'2. Input Data On-Premise '!$L127+'2. Input Data On-Premise '!$L128,0)</f>
        <v>0</v>
      </c>
      <c r="J75" s="383">
        <f t="shared" si="15"/>
        <v>0</v>
      </c>
      <c r="K75" s="52"/>
      <c r="L75" s="73" t="s">
        <v>165</v>
      </c>
      <c r="N75" s="35" t="s">
        <v>166</v>
      </c>
    </row>
    <row r="76" spans="2:14" ht="15" customHeight="1" outlineLevel="1" x14ac:dyDescent="0.3">
      <c r="B76" s="20" t="s">
        <v>101</v>
      </c>
      <c r="C76" s="382" t="s">
        <v>612</v>
      </c>
      <c r="D76" s="382" t="str">
        <f t="shared" si="12"/>
        <v>EURO</v>
      </c>
      <c r="E76" s="372">
        <f>IF(DelkaProjektu&gt;=E$27,'2. Input Data On-Premise '!$L143+'2. Input Data On-Premise '!$L149,0)</f>
        <v>0</v>
      </c>
      <c r="F76" s="372">
        <f>IF(DelkaProjektu&gt;=F$27,'2. Input Data On-Premise '!$L143+'2. Input Data On-Premise '!$L149,0)</f>
        <v>0</v>
      </c>
      <c r="G76" s="372">
        <f>IF(DelkaProjektu&gt;=G$27,'2. Input Data On-Premise '!$L143+'2. Input Data On-Premise '!$L149,0)</f>
        <v>0</v>
      </c>
      <c r="H76" s="372">
        <f>IF(DelkaProjektu&gt;=H$27,'2. Input Data On-Premise '!$L143+'2. Input Data On-Premise '!$L149,0)</f>
        <v>0</v>
      </c>
      <c r="I76" s="372">
        <f>IF(DelkaProjektu&gt;=I$27,'2. Input Data On-Premise '!$L143+'2. Input Data On-Premise '!$L149,0)</f>
        <v>0</v>
      </c>
      <c r="J76" s="383">
        <f t="shared" si="15"/>
        <v>0</v>
      </c>
      <c r="K76" s="52"/>
      <c r="L76" s="73" t="s">
        <v>165</v>
      </c>
      <c r="N76" s="35" t="s">
        <v>166</v>
      </c>
    </row>
    <row r="77" spans="2:14" ht="15" customHeight="1" x14ac:dyDescent="0.3">
      <c r="B77" s="19" t="s">
        <v>184</v>
      </c>
      <c r="C77" s="371" t="s">
        <v>613</v>
      </c>
      <c r="D77" s="371" t="str">
        <f t="shared" si="12"/>
        <v>EURO</v>
      </c>
      <c r="E77" s="365">
        <f>SUM(E78:E83)</f>
        <v>0</v>
      </c>
      <c r="F77" s="365">
        <f t="shared" ref="F77:J77" si="16">SUM(F78:F83)</f>
        <v>0</v>
      </c>
      <c r="G77" s="365">
        <f t="shared" si="16"/>
        <v>0</v>
      </c>
      <c r="H77" s="365">
        <f t="shared" si="16"/>
        <v>0</v>
      </c>
      <c r="I77" s="365">
        <f t="shared" si="16"/>
        <v>0</v>
      </c>
      <c r="J77" s="366">
        <f t="shared" si="16"/>
        <v>0</v>
      </c>
      <c r="K77" s="52"/>
      <c r="L77" s="73" t="s">
        <v>165</v>
      </c>
      <c r="N77" s="35" t="s">
        <v>166</v>
      </c>
    </row>
    <row r="78" spans="2:14" ht="15" customHeight="1" outlineLevel="1" x14ac:dyDescent="0.3">
      <c r="B78" s="20" t="s">
        <v>92</v>
      </c>
      <c r="C78" s="382" t="s">
        <v>185</v>
      </c>
      <c r="D78" s="382" t="str">
        <f t="shared" si="12"/>
        <v>EURO</v>
      </c>
      <c r="E78" s="372">
        <f>IF(DelkaProjektu&gt;=E$27,'2. Input Data On-Premise '!$L133,0)</f>
        <v>0</v>
      </c>
      <c r="F78" s="372">
        <f>IF(DelkaProjektu&gt;=F$27,'2. Input Data On-Premise '!$L133,0)</f>
        <v>0</v>
      </c>
      <c r="G78" s="372">
        <f>IF(DelkaProjektu&gt;=G$27,'2. Input Data On-Premise '!$L133,0)</f>
        <v>0</v>
      </c>
      <c r="H78" s="372">
        <f>IF(DelkaProjektu&gt;=H$27,'2. Input Data On-Premise '!$L133,0)</f>
        <v>0</v>
      </c>
      <c r="I78" s="372">
        <f>IF(DelkaProjektu&gt;=I$27,'2. Input Data On-Premise '!$L133,0)</f>
        <v>0</v>
      </c>
      <c r="J78" s="370">
        <f t="shared" ref="J78:J92" si="17">SUM(E78:I78)</f>
        <v>0</v>
      </c>
      <c r="K78" s="52"/>
      <c r="L78" s="73" t="s">
        <v>165</v>
      </c>
      <c r="N78" s="35" t="s">
        <v>166</v>
      </c>
    </row>
    <row r="79" spans="2:14" ht="15" customHeight="1" outlineLevel="1" x14ac:dyDescent="0.3">
      <c r="B79" s="20" t="s">
        <v>94</v>
      </c>
      <c r="C79" s="382" t="s">
        <v>614</v>
      </c>
      <c r="D79" s="382" t="str">
        <f t="shared" si="12"/>
        <v>EURO</v>
      </c>
      <c r="E79" s="372">
        <f>IF(DelkaProjektu&gt;=E$27,'2. Input Data On-Premise '!$L135,0)</f>
        <v>0</v>
      </c>
      <c r="F79" s="372">
        <f>IF(DelkaProjektu&gt;=F$27,'2. Input Data On-Premise '!$L135,0)</f>
        <v>0</v>
      </c>
      <c r="G79" s="372">
        <f>IF(DelkaProjektu&gt;=G$27,'2. Input Data On-Premise '!$L135,0)</f>
        <v>0</v>
      </c>
      <c r="H79" s="372">
        <f>IF(DelkaProjektu&gt;=H$27,'2. Input Data On-Premise '!$L135,0)</f>
        <v>0</v>
      </c>
      <c r="I79" s="372">
        <f>IF(DelkaProjektu&gt;=I$27,'2. Input Data On-Premise '!$L135,0)</f>
        <v>0</v>
      </c>
      <c r="J79" s="370">
        <f t="shared" si="17"/>
        <v>0</v>
      </c>
      <c r="K79" s="52"/>
      <c r="L79" s="73" t="s">
        <v>165</v>
      </c>
      <c r="N79" s="35" t="s">
        <v>166</v>
      </c>
    </row>
    <row r="80" spans="2:14" ht="15" customHeight="1" outlineLevel="1" x14ac:dyDescent="0.3">
      <c r="B80" s="20" t="s">
        <v>96</v>
      </c>
      <c r="C80" s="382" t="s">
        <v>615</v>
      </c>
      <c r="D80" s="382" t="str">
        <f t="shared" si="12"/>
        <v>EURO</v>
      </c>
      <c r="E80" s="372">
        <f>IF(DelkaProjektu&gt;=E$27,'2. Input Data On-Premise '!$L137,0)</f>
        <v>0</v>
      </c>
      <c r="F80" s="372">
        <f>IF(DelkaProjektu&gt;=F$27,'2. Input Data On-Premise '!$L137,0)</f>
        <v>0</v>
      </c>
      <c r="G80" s="372">
        <f>IF(DelkaProjektu&gt;=G$27,'2. Input Data On-Premise '!$L137,0)</f>
        <v>0</v>
      </c>
      <c r="H80" s="372">
        <f>IF(DelkaProjektu&gt;=H$27,'2. Input Data On-Premise '!$L137,0)</f>
        <v>0</v>
      </c>
      <c r="I80" s="372">
        <f>IF(DelkaProjektu&gt;=I$27,'2. Input Data On-Premise '!$L137,0)</f>
        <v>0</v>
      </c>
      <c r="J80" s="370">
        <f t="shared" si="17"/>
        <v>0</v>
      </c>
      <c r="K80" s="52"/>
      <c r="L80" s="73" t="s">
        <v>165</v>
      </c>
      <c r="N80" s="35" t="s">
        <v>166</v>
      </c>
    </row>
    <row r="81" spans="1:32" ht="15" customHeight="1" outlineLevel="1" x14ac:dyDescent="0.3">
      <c r="B81" s="20" t="s">
        <v>98</v>
      </c>
      <c r="C81" s="382" t="s">
        <v>186</v>
      </c>
      <c r="D81" s="382" t="str">
        <f t="shared" si="12"/>
        <v>EURO</v>
      </c>
      <c r="E81" s="372">
        <f>IF(DelkaProjektu&gt;=E$27,'2. Input Data On-Premise '!$L139,0)</f>
        <v>0</v>
      </c>
      <c r="F81" s="372">
        <f>IF(DelkaProjektu&gt;=F$27,'2. Input Data On-Premise '!$L139,0)</f>
        <v>0</v>
      </c>
      <c r="G81" s="372">
        <f>IF(DelkaProjektu&gt;=G$27,'2. Input Data On-Premise '!$L139,0)</f>
        <v>0</v>
      </c>
      <c r="H81" s="372">
        <f>IF(DelkaProjektu&gt;=H$27,'2. Input Data On-Premise '!$L139,0)</f>
        <v>0</v>
      </c>
      <c r="I81" s="372">
        <f>IF(DelkaProjektu&gt;=I$27,'2. Input Data On-Premise '!$L139,0)</f>
        <v>0</v>
      </c>
      <c r="J81" s="370">
        <f t="shared" si="17"/>
        <v>0</v>
      </c>
      <c r="K81" s="52"/>
      <c r="L81" s="73" t="s">
        <v>165</v>
      </c>
      <c r="N81" s="35" t="s">
        <v>166</v>
      </c>
    </row>
    <row r="82" spans="1:32" ht="15" customHeight="1" outlineLevel="1" x14ac:dyDescent="0.3">
      <c r="B82" s="20" t="s">
        <v>100</v>
      </c>
      <c r="C82" s="382" t="s">
        <v>616</v>
      </c>
      <c r="D82" s="382" t="str">
        <f t="shared" si="12"/>
        <v>EURO</v>
      </c>
      <c r="E82" s="372">
        <f>IF(DelkaProjektu&gt;=E$27,'2. Input Data On-Premise '!$L141,0)</f>
        <v>0</v>
      </c>
      <c r="F82" s="372">
        <f>IF(DelkaProjektu&gt;=F$27,'2. Input Data On-Premise '!$L141,0)</f>
        <v>0</v>
      </c>
      <c r="G82" s="372">
        <f>IF(DelkaProjektu&gt;=G$27,'2. Input Data On-Premise '!$L141,0)</f>
        <v>0</v>
      </c>
      <c r="H82" s="372">
        <f>IF(DelkaProjektu&gt;=H$27,'2. Input Data On-Premise '!$L141,0)</f>
        <v>0</v>
      </c>
      <c r="I82" s="372">
        <f>IF(DelkaProjektu&gt;=I$27,'2. Input Data On-Premise '!$L141,0)</f>
        <v>0</v>
      </c>
      <c r="J82" s="370">
        <f t="shared" si="17"/>
        <v>0</v>
      </c>
      <c r="K82" s="52"/>
      <c r="L82" s="73" t="s">
        <v>165</v>
      </c>
      <c r="N82" s="35" t="s">
        <v>166</v>
      </c>
    </row>
    <row r="83" spans="1:32" ht="15" customHeight="1" outlineLevel="1" x14ac:dyDescent="0.3">
      <c r="B83" s="22" t="s">
        <v>102</v>
      </c>
      <c r="C83" s="382" t="s">
        <v>612</v>
      </c>
      <c r="D83" s="382" t="str">
        <f t="shared" si="12"/>
        <v>EURO</v>
      </c>
      <c r="E83" s="384">
        <f>IF(DelkaProjektu&gt;=E$27,'2. Input Data On-Premise '!$L144+'2. Input Data On-Premise '!$L150,0)</f>
        <v>0</v>
      </c>
      <c r="F83" s="384">
        <f>IF(DelkaProjektu&gt;=F$27,'2. Input Data On-Premise '!$L144+'2. Input Data On-Premise '!$L150,0)</f>
        <v>0</v>
      </c>
      <c r="G83" s="384">
        <f>IF(DelkaProjektu&gt;=G$27,'2. Input Data On-Premise '!$L144+'2. Input Data On-Premise '!$L150,0)</f>
        <v>0</v>
      </c>
      <c r="H83" s="384">
        <f>IF(DelkaProjektu&gt;=H$27,'2. Input Data On-Premise '!$L144+'2. Input Data On-Premise '!$L150,0)</f>
        <v>0</v>
      </c>
      <c r="I83" s="384">
        <f>IF(DelkaProjektu&gt;=I$27,'2. Input Data On-Premise '!$L144+'2. Input Data On-Premise '!$L150,0)</f>
        <v>0</v>
      </c>
      <c r="J83" s="370">
        <f t="shared" si="17"/>
        <v>0</v>
      </c>
      <c r="K83" s="52"/>
      <c r="L83" s="73" t="s">
        <v>165</v>
      </c>
      <c r="N83" s="35" t="s">
        <v>166</v>
      </c>
    </row>
    <row r="84" spans="1:32" ht="15" customHeight="1" x14ac:dyDescent="0.3">
      <c r="B84" s="19" t="s">
        <v>187</v>
      </c>
      <c r="C84" s="381" t="s">
        <v>617</v>
      </c>
      <c r="D84" s="381" t="str">
        <f t="shared" si="12"/>
        <v>EURO</v>
      </c>
      <c r="E84" s="365">
        <f>SUM(E85:E87)</f>
        <v>0</v>
      </c>
      <c r="F84" s="365">
        <f>SUM(F85:F87)</f>
        <v>0</v>
      </c>
      <c r="G84" s="365">
        <f>SUM(G85:G87)</f>
        <v>0</v>
      </c>
      <c r="H84" s="365">
        <f>SUM(H85:H87)</f>
        <v>0</v>
      </c>
      <c r="I84" s="365">
        <f>SUM(I85:I87)</f>
        <v>0</v>
      </c>
      <c r="J84" s="366">
        <f t="shared" si="17"/>
        <v>0</v>
      </c>
      <c r="K84" s="52"/>
      <c r="L84" s="73" t="s">
        <v>165</v>
      </c>
      <c r="N84" s="35" t="s">
        <v>170</v>
      </c>
    </row>
    <row r="85" spans="1:32" ht="15" customHeight="1" outlineLevel="1" x14ac:dyDescent="0.3">
      <c r="B85" s="22" t="s">
        <v>82</v>
      </c>
      <c r="C85" s="382" t="s">
        <v>618</v>
      </c>
      <c r="D85" s="382" t="str">
        <f t="shared" si="12"/>
        <v>EURO</v>
      </c>
      <c r="E85" s="372">
        <f>IF(DelkaProjektu&gt;=E$27,'2. Input Data On-Premise '!$L111,0)</f>
        <v>0</v>
      </c>
      <c r="F85" s="372">
        <f>IF(DelkaProjektu&gt;=F$27,'2. Input Data On-Premise '!$L111,0)</f>
        <v>0</v>
      </c>
      <c r="G85" s="372">
        <f>IF(DelkaProjektu&gt;=G$27,'2. Input Data On-Premise '!$L111,0)</f>
        <v>0</v>
      </c>
      <c r="H85" s="372">
        <f>IF(DelkaProjektu&gt;=H$27,'2. Input Data On-Premise '!$L111,0)</f>
        <v>0</v>
      </c>
      <c r="I85" s="372">
        <f>IF(DelkaProjektu&gt;=I$27,'2. Input Data On-Premise '!$L111,0)</f>
        <v>0</v>
      </c>
      <c r="J85" s="383">
        <f t="shared" si="17"/>
        <v>0</v>
      </c>
      <c r="K85" s="52"/>
      <c r="L85" s="73" t="s">
        <v>165</v>
      </c>
      <c r="N85" s="35" t="s">
        <v>170</v>
      </c>
    </row>
    <row r="86" spans="1:32" ht="15" customHeight="1" outlineLevel="1" x14ac:dyDescent="0.3">
      <c r="B86" s="22" t="s">
        <v>70</v>
      </c>
      <c r="C86" s="382" t="s">
        <v>619</v>
      </c>
      <c r="D86" s="382" t="str">
        <f t="shared" si="12"/>
        <v>EURO</v>
      </c>
      <c r="E86" s="372">
        <f>IF(DelkaProjektu&gt;=E$27,'2. Input Data On-Premise '!$L83,0)</f>
        <v>0</v>
      </c>
      <c r="F86" s="372">
        <f>IF(DelkaProjektu&gt;=F$27,'2. Input Data On-Premise '!$L83,0)</f>
        <v>0</v>
      </c>
      <c r="G86" s="372">
        <f>IF(DelkaProjektu&gt;=G$27,'2. Input Data On-Premise '!$L83,0)</f>
        <v>0</v>
      </c>
      <c r="H86" s="372">
        <f>IF(DelkaProjektu&gt;=H$27,'2. Input Data On-Premise '!$L83,0)</f>
        <v>0</v>
      </c>
      <c r="I86" s="372">
        <f>IF(DelkaProjektu&gt;=I$27,'2. Input Data On-Premise '!$L83,0)</f>
        <v>0</v>
      </c>
      <c r="J86" s="383">
        <f t="shared" si="17"/>
        <v>0</v>
      </c>
      <c r="K86" s="52"/>
      <c r="L86" s="73" t="s">
        <v>165</v>
      </c>
      <c r="N86" s="35" t="s">
        <v>170</v>
      </c>
    </row>
    <row r="87" spans="1:32" ht="15" customHeight="1" outlineLevel="1" x14ac:dyDescent="0.3">
      <c r="B87" s="22" t="s">
        <v>188</v>
      </c>
      <c r="C87" s="385" t="s">
        <v>620</v>
      </c>
      <c r="D87" s="385" t="str">
        <f t="shared" si="12"/>
        <v>EURO</v>
      </c>
      <c r="E87" s="386">
        <f>SUM(E88:E91)</f>
        <v>0</v>
      </c>
      <c r="F87" s="386">
        <f>SUM(F88:F91)</f>
        <v>0</v>
      </c>
      <c r="G87" s="386">
        <f>SUM(G88:G91)</f>
        <v>0</v>
      </c>
      <c r="H87" s="386">
        <f>SUM(H88:H91)</f>
        <v>0</v>
      </c>
      <c r="I87" s="386">
        <f>SUM(I88:I91)</f>
        <v>0</v>
      </c>
      <c r="J87" s="383">
        <f t="shared" si="17"/>
        <v>0</v>
      </c>
      <c r="K87" s="1"/>
      <c r="L87" s="73" t="s">
        <v>165</v>
      </c>
      <c r="M87" s="1"/>
      <c r="N87" s="1"/>
    </row>
    <row r="88" spans="1:32" ht="15" customHeight="1" outlineLevel="1" x14ac:dyDescent="0.3">
      <c r="B88" s="22"/>
      <c r="C88" s="385" t="s">
        <v>621</v>
      </c>
      <c r="D88" s="385" t="str">
        <f t="shared" si="12"/>
        <v>EURO</v>
      </c>
      <c r="E88" s="372">
        <f>IF(DelkaProjektu&gt;=E$27,'2. Input Data On-Premise '!$L119,0)</f>
        <v>0</v>
      </c>
      <c r="F88" s="372">
        <f>IF(DelkaProjektu&gt;=F$27,'2. Input Data On-Premise '!$L119,0)</f>
        <v>0</v>
      </c>
      <c r="G88" s="372">
        <f>IF(DelkaProjektu&gt;=G$27,'2. Input Data On-Premise '!$L119,0)</f>
        <v>0</v>
      </c>
      <c r="H88" s="372">
        <f>IF(DelkaProjektu&gt;=H$27,'2. Input Data On-Premise '!$L119,0)</f>
        <v>0</v>
      </c>
      <c r="I88" s="372">
        <f>IF(DelkaProjektu&gt;=I$27,'2. Input Data On-Premise '!$L119,0)</f>
        <v>0</v>
      </c>
      <c r="J88" s="383">
        <f t="shared" si="17"/>
        <v>0</v>
      </c>
      <c r="K88" s="52"/>
      <c r="L88" s="73" t="s">
        <v>165</v>
      </c>
      <c r="N88" s="35" t="s">
        <v>170</v>
      </c>
    </row>
    <row r="89" spans="1:32" ht="15" customHeight="1" outlineLevel="1" x14ac:dyDescent="0.3">
      <c r="B89" s="22"/>
      <c r="C89" s="382" t="s">
        <v>622</v>
      </c>
      <c r="D89" s="382" t="str">
        <f t="shared" si="12"/>
        <v>EURO</v>
      </c>
      <c r="E89" s="372">
        <f>IF(DelkaProjektu&gt;=E$27,'2. Input Data On-Premise '!$L116,0)</f>
        <v>0</v>
      </c>
      <c r="F89" s="372">
        <f>IF(DelkaProjektu&gt;=F$27,'2. Input Data On-Premise '!$L116,0)</f>
        <v>0</v>
      </c>
      <c r="G89" s="372">
        <f>IF(DelkaProjektu&gt;=G$27,'2. Input Data On-Premise '!$L116,0)</f>
        <v>0</v>
      </c>
      <c r="H89" s="372">
        <f>IF(DelkaProjektu&gt;=H$27,'2. Input Data On-Premise '!$L116,0)</f>
        <v>0</v>
      </c>
      <c r="I89" s="372">
        <f>IF(DelkaProjektu&gt;=I$27,'2. Input Data On-Premise '!$L116,0)</f>
        <v>0</v>
      </c>
      <c r="J89" s="370">
        <f t="shared" si="17"/>
        <v>0</v>
      </c>
      <c r="K89" s="52"/>
      <c r="L89" s="73" t="s">
        <v>165</v>
      </c>
      <c r="N89" s="35" t="s">
        <v>170</v>
      </c>
    </row>
    <row r="90" spans="1:32" ht="15" customHeight="1" outlineLevel="1" x14ac:dyDescent="0.3">
      <c r="B90" s="22"/>
      <c r="C90" s="382" t="s">
        <v>623</v>
      </c>
      <c r="D90" s="382" t="str">
        <f t="shared" si="12"/>
        <v>EURO</v>
      </c>
      <c r="E90" s="372">
        <f>IF(DelkaProjektu&gt;=E$27,'2. Input Data On-Premise '!$L117,0)</f>
        <v>0</v>
      </c>
      <c r="F90" s="372">
        <f>IF(DelkaProjektu&gt;=F$27,'2. Input Data On-Premise '!$L117,0)</f>
        <v>0</v>
      </c>
      <c r="G90" s="372">
        <f>IF(DelkaProjektu&gt;=G$27,'2. Input Data On-Premise '!$L117,0)</f>
        <v>0</v>
      </c>
      <c r="H90" s="372">
        <f>IF(DelkaProjektu&gt;=H$27,'2. Input Data On-Premise '!$L117,0)</f>
        <v>0</v>
      </c>
      <c r="I90" s="372">
        <f>IF(DelkaProjektu&gt;=I$27,'2. Input Data On-Premise '!$L117,0)</f>
        <v>0</v>
      </c>
      <c r="J90" s="370">
        <f t="shared" si="17"/>
        <v>0</v>
      </c>
      <c r="K90" s="52"/>
      <c r="L90" s="73" t="s">
        <v>165</v>
      </c>
      <c r="N90" s="35" t="s">
        <v>170</v>
      </c>
    </row>
    <row r="91" spans="1:32" ht="15" customHeight="1" outlineLevel="1" x14ac:dyDescent="0.3">
      <c r="B91" s="22"/>
      <c r="C91" s="382" t="s">
        <v>624</v>
      </c>
      <c r="D91" s="382" t="str">
        <f t="shared" si="12"/>
        <v>EURO</v>
      </c>
      <c r="E91" s="372">
        <f>IF(DelkaProjektu&gt;=E$27,'2. Input Data On-Premise '!$L118,0)</f>
        <v>0</v>
      </c>
      <c r="F91" s="372">
        <f>IF(DelkaProjektu&gt;=F$27,'2. Input Data On-Premise '!$L118,0)</f>
        <v>0</v>
      </c>
      <c r="G91" s="372">
        <f>IF(DelkaProjektu&gt;=G$27,'2. Input Data On-Premise '!$L118,0)</f>
        <v>0</v>
      </c>
      <c r="H91" s="372">
        <f>IF(DelkaProjektu&gt;=H$27,'2. Input Data On-Premise '!$L118,0)</f>
        <v>0</v>
      </c>
      <c r="I91" s="372">
        <f>IF(DelkaProjektu&gt;=I$27,'2. Input Data On-Premise '!$L118,0)</f>
        <v>0</v>
      </c>
      <c r="J91" s="370">
        <f t="shared" si="17"/>
        <v>0</v>
      </c>
      <c r="K91" s="52"/>
      <c r="L91" s="73" t="s">
        <v>165</v>
      </c>
      <c r="N91" s="35" t="s">
        <v>170</v>
      </c>
    </row>
    <row r="92" spans="1:32" ht="15" customHeight="1" x14ac:dyDescent="0.3">
      <c r="A92" s="34"/>
      <c r="B92" s="44" t="s">
        <v>108</v>
      </c>
      <c r="C92" s="387" t="s">
        <v>625</v>
      </c>
      <c r="D92" s="387" t="str">
        <f t="shared" ref="D92:D123" si="18">JenotkaMěny</f>
        <v>EURO</v>
      </c>
      <c r="E92" s="374">
        <f>IF(DelkaProjektu&gt;=E$27,'2. Input Data On-Premise '!$L155+'2. Input Data On-Premise '!$L156+'2. Input Data On-Premise '!$L157,0)</f>
        <v>0</v>
      </c>
      <c r="F92" s="374">
        <f>IF(DelkaProjektu&gt;=F$27,'2. Input Data On-Premise '!$L155+'2. Input Data On-Premise '!$L156+'2. Input Data On-Premise '!$L157,0)</f>
        <v>0</v>
      </c>
      <c r="G92" s="374">
        <f>IF(DelkaProjektu&gt;=G$27,'2. Input Data On-Premise '!$L155+'2. Input Data On-Premise '!$L156+'2. Input Data On-Premise '!$L157,0)</f>
        <v>0</v>
      </c>
      <c r="H92" s="374">
        <f>IF(DelkaProjektu&gt;=H$27,'2. Input Data On-Premise '!$L155+'2. Input Data On-Premise '!$L156+'2. Input Data On-Premise '!$L157,0)</f>
        <v>0</v>
      </c>
      <c r="I92" s="374">
        <f>IF(DelkaProjektu&gt;=I$27,'2. Input Data On-Premise '!$L155+'2. Input Data On-Premise '!$L156+'2. Input Data On-Premise '!$L157,0)</f>
        <v>0</v>
      </c>
      <c r="J92" s="366">
        <f t="shared" si="17"/>
        <v>0</v>
      </c>
      <c r="K92" s="34"/>
      <c r="L92" s="73" t="s">
        <v>165</v>
      </c>
      <c r="M92" s="74"/>
      <c r="N92" s="74" t="s">
        <v>166</v>
      </c>
      <c r="O92" s="74"/>
      <c r="P92" s="27"/>
      <c r="Q92" s="27"/>
      <c r="R92" s="27"/>
      <c r="S92" s="27"/>
      <c r="T92" s="27"/>
      <c r="U92" s="27"/>
      <c r="V92" s="27"/>
      <c r="W92" s="27"/>
      <c r="X92" s="27"/>
      <c r="Y92" s="27"/>
      <c r="Z92" s="27"/>
      <c r="AA92" s="27"/>
      <c r="AB92" s="27"/>
      <c r="AC92" s="27"/>
      <c r="AD92" s="27"/>
      <c r="AE92" s="27"/>
      <c r="AF92" s="27"/>
    </row>
    <row r="93" spans="1:32" ht="15" customHeight="1" x14ac:dyDescent="0.3">
      <c r="A93" s="34"/>
      <c r="B93" s="44" t="s">
        <v>189</v>
      </c>
      <c r="C93" s="387" t="s">
        <v>626</v>
      </c>
      <c r="D93" s="387" t="str">
        <f t="shared" si="18"/>
        <v>EURO</v>
      </c>
      <c r="E93" s="374">
        <f t="shared" ref="E93:J93" si="19">SUM(E94:E95)</f>
        <v>0</v>
      </c>
      <c r="F93" s="374">
        <f t="shared" si="19"/>
        <v>0</v>
      </c>
      <c r="G93" s="374">
        <f t="shared" si="19"/>
        <v>0</v>
      </c>
      <c r="H93" s="374">
        <f t="shared" si="19"/>
        <v>0</v>
      </c>
      <c r="I93" s="374">
        <f t="shared" si="19"/>
        <v>0</v>
      </c>
      <c r="J93" s="366">
        <f t="shared" si="19"/>
        <v>0</v>
      </c>
      <c r="K93" s="34"/>
      <c r="L93" s="73" t="s">
        <v>165</v>
      </c>
      <c r="M93" s="74"/>
      <c r="N93" s="74" t="s">
        <v>166</v>
      </c>
      <c r="O93" s="74"/>
      <c r="P93" s="27"/>
      <c r="Q93" s="27"/>
      <c r="R93" s="27"/>
      <c r="S93" s="27"/>
      <c r="T93" s="27"/>
      <c r="U93" s="27"/>
      <c r="V93" s="27"/>
      <c r="W93" s="27"/>
      <c r="X93" s="27"/>
      <c r="Y93" s="27"/>
      <c r="Z93" s="27"/>
      <c r="AA93" s="27"/>
      <c r="AB93" s="27"/>
      <c r="AC93" s="27"/>
      <c r="AD93" s="27"/>
      <c r="AE93" s="27"/>
      <c r="AF93" s="27"/>
    </row>
    <row r="94" spans="1:32" ht="15" customHeight="1" outlineLevel="1" x14ac:dyDescent="0.3">
      <c r="A94" s="34"/>
      <c r="B94" s="45" t="s">
        <v>107</v>
      </c>
      <c r="C94" s="388" t="s">
        <v>627</v>
      </c>
      <c r="D94" s="388" t="str">
        <f t="shared" si="18"/>
        <v>EURO</v>
      </c>
      <c r="E94" s="384">
        <f>IF(DelkaProjektu&gt;=E$27,'2. Input Data On-Premise '!$L148+'2. Input Data On-Premise '!$L158,0)</f>
        <v>0</v>
      </c>
      <c r="F94" s="384">
        <f>IF(DelkaProjektu&gt;=F$27,'2. Input Data On-Premise '!$L148+'2. Input Data On-Premise '!$L158,0)</f>
        <v>0</v>
      </c>
      <c r="G94" s="384">
        <f>IF(DelkaProjektu&gt;=G$27,'2. Input Data On-Premise '!$L148+'2. Input Data On-Premise '!$L158,0)</f>
        <v>0</v>
      </c>
      <c r="H94" s="384">
        <f>IF(DelkaProjektu&gt;=H$27,'2. Input Data On-Premise '!$L148+'2. Input Data On-Premise '!$L158,0)</f>
        <v>0</v>
      </c>
      <c r="I94" s="384">
        <f>IF(DelkaProjektu&gt;=I$27,'2. Input Data On-Premise '!$L148+'2. Input Data On-Premise '!$L158,0)</f>
        <v>0</v>
      </c>
      <c r="J94" s="383">
        <f>SUM(E94:I94)</f>
        <v>0</v>
      </c>
      <c r="K94" s="34"/>
      <c r="L94" s="73" t="s">
        <v>165</v>
      </c>
      <c r="M94" s="74"/>
      <c r="N94" s="74" t="s">
        <v>166</v>
      </c>
      <c r="O94" s="74"/>
      <c r="P94" s="27"/>
      <c r="Q94" s="27"/>
      <c r="R94" s="27"/>
      <c r="S94" s="27"/>
      <c r="T94" s="27"/>
      <c r="U94" s="27"/>
      <c r="V94" s="27"/>
      <c r="W94" s="27"/>
      <c r="X94" s="27"/>
      <c r="Y94" s="27"/>
      <c r="Z94" s="27"/>
      <c r="AA94" s="27"/>
      <c r="AB94" s="27"/>
      <c r="AC94" s="27"/>
      <c r="AD94" s="27"/>
      <c r="AE94" s="27"/>
      <c r="AF94" s="27"/>
    </row>
    <row r="95" spans="1:32" ht="15" customHeight="1" outlineLevel="1" x14ac:dyDescent="0.3">
      <c r="A95" s="34"/>
      <c r="B95" s="45" t="s">
        <v>103</v>
      </c>
      <c r="C95" s="388" t="s">
        <v>628</v>
      </c>
      <c r="D95" s="388" t="str">
        <f t="shared" si="18"/>
        <v>EURO</v>
      </c>
      <c r="E95" s="384">
        <f>IF(DelkaProjektu&gt;=E$27,'2. Input Data On-Premise '!$L145+'2. Input Data On-Premise '!$L159,0)</f>
        <v>0</v>
      </c>
      <c r="F95" s="384">
        <f>IF(DelkaProjektu&gt;=F$27,'2. Input Data On-Premise '!$L145+'2. Input Data On-Premise '!$L159,0)</f>
        <v>0</v>
      </c>
      <c r="G95" s="384">
        <f>IF(DelkaProjektu&gt;=G$27,'2. Input Data On-Premise '!$L145+'2. Input Data On-Premise '!$L159,0)</f>
        <v>0</v>
      </c>
      <c r="H95" s="384">
        <f>IF(DelkaProjektu&gt;=H$27,'2. Input Data On-Premise '!$L145+'2. Input Data On-Premise '!$L159,0)</f>
        <v>0</v>
      </c>
      <c r="I95" s="384">
        <f>IF(DelkaProjektu&gt;=I$27,'2. Input Data On-Premise '!$L145+'2. Input Data On-Premise '!$L159,0)</f>
        <v>0</v>
      </c>
      <c r="J95" s="383">
        <f>SUM(E95:I95)</f>
        <v>0</v>
      </c>
      <c r="K95" s="34"/>
      <c r="L95" s="73" t="s">
        <v>165</v>
      </c>
      <c r="M95" s="74"/>
      <c r="N95" s="74" t="s">
        <v>166</v>
      </c>
      <c r="O95" s="74"/>
      <c r="P95" s="27"/>
      <c r="Q95" s="27"/>
      <c r="R95" s="27"/>
      <c r="S95" s="27"/>
      <c r="T95" s="27"/>
      <c r="U95" s="27"/>
      <c r="V95" s="27"/>
      <c r="W95" s="27"/>
      <c r="X95" s="27"/>
      <c r="Y95" s="27"/>
      <c r="Z95" s="27"/>
      <c r="AA95" s="27"/>
      <c r="AB95" s="27"/>
      <c r="AC95" s="27"/>
      <c r="AD95" s="27"/>
      <c r="AE95" s="27"/>
      <c r="AF95" s="27"/>
    </row>
    <row r="96" spans="1:32" ht="15" customHeight="1" x14ac:dyDescent="0.3">
      <c r="B96" s="21" t="s">
        <v>190</v>
      </c>
      <c r="C96" s="376" t="s">
        <v>629</v>
      </c>
      <c r="D96" s="377" t="str">
        <f t="shared" si="18"/>
        <v>EURO</v>
      </c>
      <c r="E96" s="378">
        <f>E97+E101+E106+E107+E108+E109+E110+E111+E112+E113</f>
        <v>0</v>
      </c>
      <c r="F96" s="378">
        <f t="shared" ref="F96:J96" si="20">F97+F101+F106+F107+F108+F109+F110+F111+F112+F113</f>
        <v>0</v>
      </c>
      <c r="G96" s="378">
        <f t="shared" si="20"/>
        <v>0</v>
      </c>
      <c r="H96" s="378">
        <f t="shared" si="20"/>
        <v>0</v>
      </c>
      <c r="I96" s="378">
        <f t="shared" si="20"/>
        <v>0</v>
      </c>
      <c r="J96" s="378">
        <f t="shared" si="20"/>
        <v>0</v>
      </c>
      <c r="K96" s="52"/>
      <c r="L96" s="73" t="s">
        <v>165</v>
      </c>
      <c r="N96" s="35" t="s">
        <v>170</v>
      </c>
    </row>
    <row r="97" spans="1:32" ht="15" customHeight="1" x14ac:dyDescent="0.3">
      <c r="B97" s="19" t="s">
        <v>191</v>
      </c>
      <c r="C97" s="389" t="s">
        <v>630</v>
      </c>
      <c r="D97" s="364" t="str">
        <f t="shared" si="18"/>
        <v>EURO</v>
      </c>
      <c r="E97" s="365">
        <f>SUM(E98:E100)</f>
        <v>0</v>
      </c>
      <c r="F97" s="365">
        <f t="shared" ref="F97:I97" si="21">SUM(F98:F100)</f>
        <v>0</v>
      </c>
      <c r="G97" s="365">
        <f t="shared" si="21"/>
        <v>0</v>
      </c>
      <c r="H97" s="365">
        <f t="shared" si="21"/>
        <v>0</v>
      </c>
      <c r="I97" s="365">
        <f t="shared" si="21"/>
        <v>0</v>
      </c>
      <c r="J97" s="366">
        <f>SUM(J98:J100)</f>
        <v>0</v>
      </c>
      <c r="K97" s="52"/>
      <c r="L97" s="73" t="s">
        <v>165</v>
      </c>
      <c r="N97" s="35" t="s">
        <v>170</v>
      </c>
      <c r="O97" s="42"/>
      <c r="P97" s="43"/>
      <c r="Q97" s="43"/>
      <c r="R97" s="43"/>
    </row>
    <row r="98" spans="1:32" ht="15" customHeight="1" outlineLevel="1" x14ac:dyDescent="0.3">
      <c r="B98" s="22" t="s">
        <v>192</v>
      </c>
      <c r="C98" s="292" t="s">
        <v>631</v>
      </c>
      <c r="D98" s="293" t="str">
        <f t="shared" si="18"/>
        <v>EURO</v>
      </c>
      <c r="E98" s="369">
        <f>IF(DelkaProjektu&gt;=E$27,'2. Input Data On-Premise '!$L$59,0)</f>
        <v>0</v>
      </c>
      <c r="F98" s="369">
        <f>IF(DelkaProjektu&gt;=F$27,'2. Input Data On-Premise '!$L$59,0)</f>
        <v>0</v>
      </c>
      <c r="G98" s="369">
        <f>IF(DelkaProjektu&gt;=G$27,'2. Input Data On-Premise '!$L$59,0)</f>
        <v>0</v>
      </c>
      <c r="H98" s="369">
        <f>IF(DelkaProjektu&gt;=H$27,'2. Input Data On-Premise '!$L$59,0)</f>
        <v>0</v>
      </c>
      <c r="I98" s="369">
        <f>IF(DelkaProjektu&gt;=I$27,'2. Input Data On-Premise '!$L$59,0)</f>
        <v>0</v>
      </c>
      <c r="J98" s="390">
        <f t="shared" ref="J98:J137" si="22">SUM(E98:I98)</f>
        <v>0</v>
      </c>
      <c r="K98" s="52"/>
      <c r="L98" s="73" t="s">
        <v>165</v>
      </c>
      <c r="M98" s="39"/>
      <c r="N98" s="35" t="s">
        <v>170</v>
      </c>
      <c r="O98" s="42"/>
      <c r="P98" s="43"/>
      <c r="Q98" s="43"/>
      <c r="R98" s="43"/>
    </row>
    <row r="99" spans="1:32" ht="15" customHeight="1" outlineLevel="1" x14ac:dyDescent="0.3">
      <c r="B99" s="22" t="s">
        <v>69</v>
      </c>
      <c r="C99" s="292" t="s">
        <v>632</v>
      </c>
      <c r="D99" s="293" t="str">
        <f t="shared" si="18"/>
        <v>EURO</v>
      </c>
      <c r="E99" s="369">
        <f>IF(DelkaProjektu&gt;=E$27,'2. Input Data On-Premise '!$L$82+'2. Input Data On-Premise '!$L$94,0)</f>
        <v>0</v>
      </c>
      <c r="F99" s="369">
        <f>IF(DelkaProjektu&gt;=F$27,'2. Input Data On-Premise '!$L$82+'2. Input Data On-Premise '!$L$94,0)</f>
        <v>0</v>
      </c>
      <c r="G99" s="369">
        <f>IF(DelkaProjektu&gt;=G$27,'2. Input Data On-Premise '!$L$82+'2. Input Data On-Premise '!$L$94,0)</f>
        <v>0</v>
      </c>
      <c r="H99" s="369">
        <f>IF(DelkaProjektu&gt;=H$27,'2. Input Data On-Premise '!$L$82+'2. Input Data On-Premise '!$L$94,0)</f>
        <v>0</v>
      </c>
      <c r="I99" s="369">
        <f>IF(DelkaProjektu&gt;=I$27,'2. Input Data On-Premise '!$L$82+'2. Input Data On-Premise '!$L$94,0)</f>
        <v>0</v>
      </c>
      <c r="J99" s="390">
        <f t="shared" si="22"/>
        <v>0</v>
      </c>
      <c r="K99" s="52"/>
      <c r="L99" s="73" t="s">
        <v>165</v>
      </c>
      <c r="M99" s="39"/>
      <c r="N99" s="35" t="s">
        <v>170</v>
      </c>
      <c r="O99" s="42"/>
      <c r="P99" s="43"/>
      <c r="Q99" s="43"/>
      <c r="R99" s="43"/>
    </row>
    <row r="100" spans="1:32" ht="15" customHeight="1" outlineLevel="1" x14ac:dyDescent="0.3">
      <c r="B100" s="22" t="s">
        <v>78</v>
      </c>
      <c r="C100" s="292" t="s">
        <v>829</v>
      </c>
      <c r="D100" s="293" t="str">
        <f t="shared" si="18"/>
        <v>EURO</v>
      </c>
      <c r="E100" s="369">
        <f>IF(DelkaProjektu&gt;=E$27,'2. Input Data On-Premise '!$L$101,0)</f>
        <v>0</v>
      </c>
      <c r="F100" s="369">
        <f>IF(DelkaProjektu&gt;=F$27,'2. Input Data On-Premise '!$L$101,0)</f>
        <v>0</v>
      </c>
      <c r="G100" s="369">
        <f>IF(DelkaProjektu&gt;=G$27,'2. Input Data On-Premise '!$L$101,0)</f>
        <v>0</v>
      </c>
      <c r="H100" s="369">
        <f>IF(DelkaProjektu&gt;=H$27,'2. Input Data On-Premise '!$L$101,0)</f>
        <v>0</v>
      </c>
      <c r="I100" s="369">
        <f>IF(DelkaProjektu&gt;=I$27,'2. Input Data On-Premise '!$L$101,0)</f>
        <v>0</v>
      </c>
      <c r="J100" s="390">
        <f t="shared" si="22"/>
        <v>0</v>
      </c>
      <c r="K100" s="52"/>
      <c r="L100" s="73" t="s">
        <v>165</v>
      </c>
      <c r="M100" s="39"/>
      <c r="N100" s="74" t="s">
        <v>166</v>
      </c>
      <c r="O100" s="42"/>
      <c r="P100" s="43"/>
      <c r="Q100" s="43"/>
      <c r="R100" s="43"/>
    </row>
    <row r="101" spans="1:32" ht="15" customHeight="1" x14ac:dyDescent="0.3">
      <c r="B101" s="19" t="s">
        <v>193</v>
      </c>
      <c r="C101" s="389" t="s">
        <v>633</v>
      </c>
      <c r="D101" s="364" t="str">
        <f t="shared" si="18"/>
        <v>EURO</v>
      </c>
      <c r="E101" s="365">
        <f>SUM(E102:E105)</f>
        <v>0</v>
      </c>
      <c r="F101" s="365">
        <f t="shared" ref="F101:J101" si="23">SUM(F102:F105)</f>
        <v>0</v>
      </c>
      <c r="G101" s="365">
        <f t="shared" si="23"/>
        <v>0</v>
      </c>
      <c r="H101" s="365">
        <f t="shared" si="23"/>
        <v>0</v>
      </c>
      <c r="I101" s="365">
        <f t="shared" si="23"/>
        <v>0</v>
      </c>
      <c r="J101" s="366">
        <f t="shared" si="23"/>
        <v>0</v>
      </c>
      <c r="K101" s="52"/>
      <c r="L101" s="73" t="s">
        <v>165</v>
      </c>
      <c r="M101" s="39"/>
      <c r="N101" s="35" t="s">
        <v>170</v>
      </c>
      <c r="O101" s="42"/>
      <c r="P101" s="43"/>
      <c r="Q101" s="43"/>
      <c r="R101" s="43"/>
    </row>
    <row r="102" spans="1:32" ht="15" customHeight="1" outlineLevel="1" x14ac:dyDescent="0.3">
      <c r="B102" s="22" t="s">
        <v>194</v>
      </c>
      <c r="C102" s="292" t="s">
        <v>634</v>
      </c>
      <c r="D102" s="293" t="str">
        <f t="shared" si="18"/>
        <v>EURO</v>
      </c>
      <c r="E102" s="369">
        <f>IF(DelkaProjektu&gt;=E$27,'2. Input Data On-Premise '!$L$19,0)</f>
        <v>0</v>
      </c>
      <c r="F102" s="369">
        <f>IF(DelkaProjektu&gt;=F$27,'2. Input Data On-Premise '!$L$19,0)</f>
        <v>0</v>
      </c>
      <c r="G102" s="369">
        <f>IF(DelkaProjektu&gt;=G$27,'2. Input Data On-Premise '!$L$19,0)</f>
        <v>0</v>
      </c>
      <c r="H102" s="369">
        <f>IF(DelkaProjektu&gt;=H$27,'2. Input Data On-Premise '!$L$19,0)</f>
        <v>0</v>
      </c>
      <c r="I102" s="369">
        <f>IF(DelkaProjektu&gt;=I$27,'2. Input Data On-Premise '!$L$19,0)</f>
        <v>0</v>
      </c>
      <c r="J102" s="390">
        <f t="shared" si="22"/>
        <v>0</v>
      </c>
      <c r="K102" s="52"/>
      <c r="L102" s="73" t="s">
        <v>165</v>
      </c>
      <c r="N102" s="35" t="s">
        <v>170</v>
      </c>
      <c r="O102" s="42"/>
      <c r="P102" s="42"/>
      <c r="Q102" s="42"/>
      <c r="R102" s="43"/>
    </row>
    <row r="103" spans="1:32" ht="14.25" customHeight="1" outlineLevel="1" x14ac:dyDescent="0.3">
      <c r="B103" s="22" t="s">
        <v>195</v>
      </c>
      <c r="C103" s="292" t="s">
        <v>635</v>
      </c>
      <c r="D103" s="293" t="str">
        <f t="shared" si="18"/>
        <v>EURO</v>
      </c>
      <c r="E103" s="369">
        <f>IF(DelkaProjektu&gt;=E$27,'2. Input Data On-Premise '!$L$23,0)</f>
        <v>0</v>
      </c>
      <c r="F103" s="369">
        <f>IF(DelkaProjektu&gt;=F$27,'2. Input Data On-Premise '!$L$23,0)</f>
        <v>0</v>
      </c>
      <c r="G103" s="369">
        <f>IF(DelkaProjektu&gt;=G$27,'2. Input Data On-Premise '!$L$23,0)</f>
        <v>0</v>
      </c>
      <c r="H103" s="369">
        <f>IF(DelkaProjektu&gt;=H$27,'2. Input Data On-Premise '!$L$23,0)</f>
        <v>0</v>
      </c>
      <c r="I103" s="369">
        <f>IF(DelkaProjektu&gt;=I$27,'2. Input Data On-Premise '!$L$23,0)</f>
        <v>0</v>
      </c>
      <c r="J103" s="390">
        <f>SUM(E103:I103)</f>
        <v>0</v>
      </c>
      <c r="K103" s="52"/>
      <c r="L103" s="73" t="s">
        <v>165</v>
      </c>
      <c r="N103" s="35" t="s">
        <v>170</v>
      </c>
      <c r="O103" s="42"/>
      <c r="P103" s="42"/>
      <c r="Q103" s="42"/>
      <c r="R103" s="43"/>
    </row>
    <row r="104" spans="1:32" ht="14.25" customHeight="1" outlineLevel="1" x14ac:dyDescent="0.3">
      <c r="B104" s="22" t="s">
        <v>42</v>
      </c>
      <c r="C104" s="292" t="s">
        <v>636</v>
      </c>
      <c r="D104" s="293" t="str">
        <f t="shared" si="18"/>
        <v>EURO</v>
      </c>
      <c r="E104" s="369">
        <f>IF(DelkaProjektu&gt;=E$27,'2. Input Data On-Premise '!$L$31+'2. Input Data On-Premise '!$L$33,0)</f>
        <v>0</v>
      </c>
      <c r="F104" s="369">
        <f>IF(DelkaProjektu&gt;=F$27,'2. Input Data On-Premise '!$L$31+'2. Input Data On-Premise '!$L$33,0)</f>
        <v>0</v>
      </c>
      <c r="G104" s="369">
        <f>IF(DelkaProjektu&gt;=G$27,'2. Input Data On-Premise '!$L$31+'2. Input Data On-Premise '!$L$33,0)</f>
        <v>0</v>
      </c>
      <c r="H104" s="369">
        <f>IF(DelkaProjektu&gt;=H$27,'2. Input Data On-Premise '!$L$31+'2. Input Data On-Premise '!$L$33,0)</f>
        <v>0</v>
      </c>
      <c r="I104" s="369">
        <f>IF(DelkaProjektu&gt;=I$27,'2. Input Data On-Premise '!$L$31+'2. Input Data On-Premise '!$L$33,0)</f>
        <v>0</v>
      </c>
      <c r="J104" s="390">
        <f>SUM(E104:I104)</f>
        <v>0</v>
      </c>
      <c r="K104" s="52"/>
      <c r="L104" s="73" t="s">
        <v>165</v>
      </c>
      <c r="N104" s="35" t="s">
        <v>170</v>
      </c>
      <c r="O104" s="42"/>
      <c r="P104" s="42"/>
      <c r="Q104" s="42"/>
      <c r="R104" s="43"/>
    </row>
    <row r="105" spans="1:32" ht="14.25" customHeight="1" outlineLevel="1" x14ac:dyDescent="0.3">
      <c r="B105" s="22" t="s">
        <v>40</v>
      </c>
      <c r="C105" s="292" t="s">
        <v>637</v>
      </c>
      <c r="D105" s="293" t="str">
        <f t="shared" si="18"/>
        <v>EURO</v>
      </c>
      <c r="E105" s="369">
        <f>IF(DelkaProjektu&gt;=E$27,'2. Input Data On-Premise '!$L$27,0)</f>
        <v>0</v>
      </c>
      <c r="F105" s="369">
        <f>IF(DelkaProjektu&gt;=F$27,'2. Input Data On-Premise '!$L$27,0)</f>
        <v>0</v>
      </c>
      <c r="G105" s="369">
        <f>IF(DelkaProjektu&gt;=G$27,'2. Input Data On-Premise '!$L$27,0)</f>
        <v>0</v>
      </c>
      <c r="H105" s="369">
        <f>IF(DelkaProjektu&gt;=H$27,'2. Input Data On-Premise '!$L$27,0)</f>
        <v>0</v>
      </c>
      <c r="I105" s="369">
        <f>IF(DelkaProjektu&gt;=I$27,'2. Input Data On-Premise '!$L$27,0)</f>
        <v>0</v>
      </c>
      <c r="J105" s="390">
        <f>SUM(E105:I105)</f>
        <v>0</v>
      </c>
      <c r="K105" s="52"/>
      <c r="L105" s="73" t="s">
        <v>165</v>
      </c>
      <c r="N105" s="35" t="s">
        <v>166</v>
      </c>
      <c r="O105" s="42"/>
      <c r="P105" s="42"/>
      <c r="Q105" s="42"/>
      <c r="R105" s="43"/>
    </row>
    <row r="106" spans="1:32" ht="14.25" customHeight="1" x14ac:dyDescent="0.3">
      <c r="B106" s="19" t="s">
        <v>46</v>
      </c>
      <c r="C106" s="389" t="s">
        <v>637</v>
      </c>
      <c r="D106" s="364" t="str">
        <f t="shared" si="18"/>
        <v>EURO</v>
      </c>
      <c r="E106" s="365">
        <f>IF(DelkaProjektu&gt;=E$27,'2. Input Data On-Premise '!$L$39,0)</f>
        <v>0</v>
      </c>
      <c r="F106" s="365">
        <f>IF(DelkaProjektu&gt;=F$27,'2. Input Data On-Premise '!$L$39,0)</f>
        <v>0</v>
      </c>
      <c r="G106" s="365">
        <f>IF(DelkaProjektu&gt;=G$27,'2. Input Data On-Premise '!$L$39,0)</f>
        <v>0</v>
      </c>
      <c r="H106" s="365">
        <f>IF(DelkaProjektu&gt;=H$27,'2. Input Data On-Premise '!$L$39,0)</f>
        <v>0</v>
      </c>
      <c r="I106" s="365">
        <f>IF(DelkaProjektu&gt;=I$27,'2. Input Data On-Premise '!$L$39,0)</f>
        <v>0</v>
      </c>
      <c r="J106" s="380">
        <f t="shared" si="22"/>
        <v>0</v>
      </c>
      <c r="K106" s="52"/>
      <c r="L106" s="73" t="s">
        <v>165</v>
      </c>
      <c r="N106" s="35" t="s">
        <v>166</v>
      </c>
      <c r="O106" s="42"/>
      <c r="P106" s="43"/>
      <c r="Q106" s="43"/>
      <c r="R106" s="43"/>
    </row>
    <row r="107" spans="1:32" ht="14.25" customHeight="1" x14ac:dyDescent="0.3">
      <c r="B107" s="19" t="s">
        <v>53</v>
      </c>
      <c r="C107" s="389" t="s">
        <v>638</v>
      </c>
      <c r="D107" s="364" t="str">
        <f t="shared" si="18"/>
        <v>EURO</v>
      </c>
      <c r="E107" s="365">
        <f>IF(DelkaProjektu&gt;=E$27,'2. Input Data On-Premise '!$L$50,0)</f>
        <v>0</v>
      </c>
      <c r="F107" s="365">
        <f>IF(DelkaProjektu&gt;=F$27,'2. Input Data On-Premise '!$L$50,0)</f>
        <v>0</v>
      </c>
      <c r="G107" s="365">
        <f>IF(DelkaProjektu&gt;=G$27,'2. Input Data On-Premise '!$L$50,0)</f>
        <v>0</v>
      </c>
      <c r="H107" s="365">
        <f>IF(DelkaProjektu&gt;=H$27,'2. Input Data On-Premise '!$L$50,0)</f>
        <v>0</v>
      </c>
      <c r="I107" s="365">
        <f>IF(DelkaProjektu&gt;=I$27,'2. Input Data On-Premise '!$L$50,0)</f>
        <v>0</v>
      </c>
      <c r="J107" s="380">
        <f t="shared" ref="J107:J113" si="24">SUM(E107:I107)</f>
        <v>0</v>
      </c>
      <c r="K107" s="52"/>
      <c r="L107" s="73" t="s">
        <v>165</v>
      </c>
      <c r="M107" s="53"/>
      <c r="N107" s="35" t="s">
        <v>170</v>
      </c>
      <c r="O107" s="42"/>
      <c r="P107" s="43"/>
      <c r="Q107" s="43"/>
      <c r="R107" s="43"/>
    </row>
    <row r="108" spans="1:32" ht="14.25" customHeight="1" x14ac:dyDescent="0.3">
      <c r="A108" s="34"/>
      <c r="B108" s="44" t="s">
        <v>196</v>
      </c>
      <c r="C108" s="391" t="s">
        <v>639</v>
      </c>
      <c r="D108" s="392" t="str">
        <f t="shared" si="18"/>
        <v>EURO</v>
      </c>
      <c r="E108" s="374">
        <f>IF(DelkaProjektu&gt;=E$27,'2. Input Data On-Premise '!$L$91+'2. Input Data On-Premise '!$L$93+'2. Input Data On-Premise '!$L$92,0)</f>
        <v>0</v>
      </c>
      <c r="F108" s="374">
        <f>IF(DelkaProjektu&gt;=F$27,'2. Input Data On-Premise '!$L$91+'2. Input Data On-Premise '!$L$93+'2. Input Data On-Premise '!$L$92,0)</f>
        <v>0</v>
      </c>
      <c r="G108" s="374">
        <f>IF(DelkaProjektu&gt;=G$27,'2. Input Data On-Premise '!$L$91+'2. Input Data On-Premise '!$L$93+'2. Input Data On-Premise '!$L$92,0)</f>
        <v>0</v>
      </c>
      <c r="H108" s="374">
        <f>IF(DelkaProjektu&gt;=H$27,'2. Input Data On-Premise '!$L$91+'2. Input Data On-Premise '!$L$93+'2. Input Data On-Premise '!$L$92,0)</f>
        <v>0</v>
      </c>
      <c r="I108" s="374">
        <f>IF(DelkaProjektu&gt;=I$27,'2. Input Data On-Premise '!$L$91+'2. Input Data On-Premise '!$L$93+'2. Input Data On-Premise '!$L$92,0)</f>
        <v>0</v>
      </c>
      <c r="J108" s="380">
        <f t="shared" si="24"/>
        <v>0</v>
      </c>
      <c r="K108" s="34"/>
      <c r="L108" s="73" t="s">
        <v>165</v>
      </c>
      <c r="M108" s="74"/>
      <c r="N108" s="35" t="s">
        <v>170</v>
      </c>
      <c r="O108" s="75"/>
      <c r="P108" s="76"/>
      <c r="Q108" s="76"/>
      <c r="R108" s="76"/>
      <c r="S108" s="27"/>
      <c r="T108" s="27"/>
      <c r="U108" s="27"/>
      <c r="V108" s="27"/>
      <c r="W108" s="27"/>
      <c r="X108" s="27"/>
      <c r="Y108" s="27"/>
      <c r="Z108" s="27"/>
      <c r="AA108" s="27"/>
      <c r="AB108" s="27"/>
      <c r="AC108" s="27"/>
      <c r="AD108" s="27"/>
      <c r="AE108" s="27"/>
      <c r="AF108" s="27"/>
    </row>
    <row r="109" spans="1:32" ht="25.95" customHeight="1" x14ac:dyDescent="0.3">
      <c r="A109" s="34"/>
      <c r="B109" s="44" t="s">
        <v>59</v>
      </c>
      <c r="C109" s="391" t="s">
        <v>640</v>
      </c>
      <c r="D109" s="391" t="str">
        <f t="shared" si="18"/>
        <v>EURO</v>
      </c>
      <c r="E109" s="374">
        <f>IF(DelkaProjektu&gt;=E$27,'2. Input Data On-Premise '!$L$60+'2. Input Data On-Premise '!$L$61,0)</f>
        <v>0</v>
      </c>
      <c r="F109" s="374">
        <f>IF(DelkaProjektu&gt;=F$27,'2. Input Data On-Premise '!$L$60+'2. Input Data On-Premise '!$L$61,0)</f>
        <v>0</v>
      </c>
      <c r="G109" s="374">
        <f>IF(DelkaProjektu&gt;=G$27,'2. Input Data On-Premise '!$L$60+'2. Input Data On-Premise '!$L$61,0)</f>
        <v>0</v>
      </c>
      <c r="H109" s="374">
        <f>IF(DelkaProjektu&gt;=H$27,'2. Input Data On-Premise '!$L$60+'2. Input Data On-Premise '!$L$61,0)</f>
        <v>0</v>
      </c>
      <c r="I109" s="374">
        <f>IF(DelkaProjektu&gt;=I$27,'2. Input Data On-Premise '!$L$60+'2. Input Data On-Premise '!$L$61,0)</f>
        <v>0</v>
      </c>
      <c r="J109" s="380">
        <f t="shared" si="24"/>
        <v>0</v>
      </c>
      <c r="K109" s="34"/>
      <c r="L109" s="73" t="s">
        <v>165</v>
      </c>
      <c r="M109" s="74"/>
      <c r="N109" s="35" t="s">
        <v>170</v>
      </c>
      <c r="O109" s="75"/>
      <c r="P109" s="76"/>
      <c r="Q109" s="76"/>
      <c r="R109" s="76"/>
      <c r="S109" s="27"/>
      <c r="T109" s="27"/>
      <c r="U109" s="27"/>
      <c r="V109" s="27"/>
      <c r="W109" s="27"/>
      <c r="X109" s="27"/>
      <c r="Y109" s="27"/>
      <c r="Z109" s="27"/>
      <c r="AA109" s="27"/>
      <c r="AB109" s="27"/>
      <c r="AC109" s="27"/>
      <c r="AD109" s="27"/>
      <c r="AE109" s="27"/>
      <c r="AF109" s="27"/>
    </row>
    <row r="110" spans="1:32" ht="25.95" customHeight="1" x14ac:dyDescent="0.3">
      <c r="A110" s="34"/>
      <c r="B110" s="44" t="s">
        <v>43</v>
      </c>
      <c r="C110" s="391" t="s">
        <v>641</v>
      </c>
      <c r="D110" s="391" t="str">
        <f t="shared" si="18"/>
        <v>EURO</v>
      </c>
      <c r="E110" s="374">
        <f>IF(DelkaProjektu&gt;=E$27,'2. Input Data On-Premise '!$L$34+'2. Input Data On-Premise '!$L$35,0)</f>
        <v>0</v>
      </c>
      <c r="F110" s="374">
        <f>IF(DelkaProjektu&gt;=F$27,'2. Input Data On-Premise '!$L$34+'2. Input Data On-Premise '!$L$35,0)</f>
        <v>0</v>
      </c>
      <c r="G110" s="374">
        <f>IF(DelkaProjektu&gt;=G$27,'2. Input Data On-Premise '!$L$34+'2. Input Data On-Premise '!$L$35,0)</f>
        <v>0</v>
      </c>
      <c r="H110" s="374">
        <f>IF(DelkaProjektu&gt;=H$27,'2. Input Data On-Premise '!$L$34+'2. Input Data On-Premise '!$L$35,0)</f>
        <v>0</v>
      </c>
      <c r="I110" s="374">
        <f>IF(DelkaProjektu&gt;=I$27,'2. Input Data On-Premise '!$L$34+'2. Input Data On-Premise '!$L$35,0)</f>
        <v>0</v>
      </c>
      <c r="J110" s="380">
        <f t="shared" si="24"/>
        <v>0</v>
      </c>
      <c r="K110" s="34"/>
      <c r="L110" s="73" t="s">
        <v>165</v>
      </c>
      <c r="M110" s="74"/>
      <c r="N110" s="35" t="s">
        <v>170</v>
      </c>
      <c r="O110" s="75"/>
      <c r="P110" s="76"/>
      <c r="Q110" s="76"/>
      <c r="R110" s="76"/>
      <c r="S110" s="27"/>
      <c r="T110" s="27"/>
      <c r="U110" s="27"/>
      <c r="V110" s="27"/>
      <c r="W110" s="27"/>
      <c r="X110" s="27"/>
      <c r="Y110" s="27"/>
      <c r="Z110" s="27"/>
      <c r="AA110" s="27"/>
      <c r="AB110" s="27"/>
      <c r="AC110" s="27"/>
      <c r="AD110" s="27"/>
      <c r="AE110" s="27"/>
      <c r="AF110" s="27"/>
    </row>
    <row r="111" spans="1:32" ht="25.95" customHeight="1" x14ac:dyDescent="0.3">
      <c r="A111" s="34"/>
      <c r="B111" s="44" t="s">
        <v>105</v>
      </c>
      <c r="C111" s="391" t="s">
        <v>642</v>
      </c>
      <c r="D111" s="391" t="str">
        <f t="shared" si="18"/>
        <v>EURO</v>
      </c>
      <c r="E111" s="365">
        <f>IF(DelkaProjektu&gt;=E$27,'2. Input Data On-Premise '!$L$146+'2. Input Data On-Premise '!$L$147,0)</f>
        <v>0</v>
      </c>
      <c r="F111" s="374">
        <f>IF(DelkaProjektu&gt;=F$27,'2. Input Data On-Premise '!$L$146+'2. Input Data On-Premise '!$L$147,0)</f>
        <v>0</v>
      </c>
      <c r="G111" s="374">
        <f>IF(DelkaProjektu&gt;=G$27,'2. Input Data On-Premise '!$L$146+'2. Input Data On-Premise '!$L$147,0)</f>
        <v>0</v>
      </c>
      <c r="H111" s="374">
        <f>IF(DelkaProjektu&gt;=H$27,'2. Input Data On-Premise '!$L$146+'2. Input Data On-Premise '!$L$147,0)</f>
        <v>0</v>
      </c>
      <c r="I111" s="374">
        <f>IF(DelkaProjektu&gt;=I$27,'2. Input Data On-Premise '!$L$146+'2. Input Data On-Premise '!$L$147,0)</f>
        <v>0</v>
      </c>
      <c r="J111" s="380">
        <f t="shared" si="24"/>
        <v>0</v>
      </c>
      <c r="K111" s="52"/>
      <c r="L111" s="73" t="s">
        <v>165</v>
      </c>
      <c r="N111" s="35" t="s">
        <v>170</v>
      </c>
      <c r="O111" s="75"/>
      <c r="P111" s="76"/>
      <c r="Q111" s="76"/>
      <c r="R111" s="76"/>
      <c r="S111" s="27"/>
      <c r="T111" s="27"/>
      <c r="U111" s="27"/>
      <c r="V111" s="27"/>
      <c r="W111" s="27"/>
      <c r="X111" s="27"/>
      <c r="Y111" s="27"/>
      <c r="Z111" s="27"/>
      <c r="AA111" s="27"/>
      <c r="AB111" s="27"/>
      <c r="AC111" s="27"/>
      <c r="AD111" s="27"/>
      <c r="AE111" s="27"/>
      <c r="AF111" s="27"/>
    </row>
    <row r="112" spans="1:32" ht="25.95" customHeight="1" x14ac:dyDescent="0.3">
      <c r="A112" s="34"/>
      <c r="B112" s="44" t="s">
        <v>54</v>
      </c>
      <c r="C112" s="391" t="s">
        <v>643</v>
      </c>
      <c r="D112" s="391" t="str">
        <f t="shared" si="18"/>
        <v>EURO</v>
      </c>
      <c r="E112" s="374">
        <f>IF(DelkaProjektu&gt;=E$27,'2. Input Data On-Premise '!$L$51+'2. Input Data On-Premise '!$L$52,0)</f>
        <v>0</v>
      </c>
      <c r="F112" s="374">
        <f>IF(DelkaProjektu&gt;=F$27,'2. Input Data On-Premise '!$L$51+'2. Input Data On-Premise '!$L$52,0)</f>
        <v>0</v>
      </c>
      <c r="G112" s="374">
        <f>IF(DelkaProjektu&gt;=G$27,'2. Input Data On-Premise '!$L$51+'2. Input Data On-Premise '!$L$52,0)</f>
        <v>0</v>
      </c>
      <c r="H112" s="374">
        <f>IF(DelkaProjektu&gt;=H$27,'2. Input Data On-Premise '!$L$51+'2. Input Data On-Premise '!$L$52,0)</f>
        <v>0</v>
      </c>
      <c r="I112" s="374">
        <f>IF(DelkaProjektu&gt;=I$27,'2. Input Data On-Premise '!$L$51+'2. Input Data On-Premise '!$L$52,0)</f>
        <v>0</v>
      </c>
      <c r="J112" s="380">
        <f t="shared" si="24"/>
        <v>0</v>
      </c>
      <c r="K112" s="34"/>
      <c r="L112" s="73" t="s">
        <v>165</v>
      </c>
      <c r="M112" s="74"/>
      <c r="N112" s="35" t="s">
        <v>170</v>
      </c>
      <c r="O112" s="75"/>
      <c r="P112" s="76"/>
      <c r="Q112" s="76"/>
      <c r="R112" s="76"/>
      <c r="S112" s="27"/>
      <c r="T112" s="27"/>
      <c r="U112" s="27"/>
      <c r="V112" s="27"/>
      <c r="W112" s="27"/>
      <c r="X112" s="27"/>
      <c r="Y112" s="27"/>
      <c r="Z112" s="27"/>
      <c r="AA112" s="27"/>
      <c r="AB112" s="27"/>
      <c r="AC112" s="27"/>
      <c r="AD112" s="27"/>
      <c r="AE112" s="27"/>
      <c r="AF112" s="27"/>
    </row>
    <row r="113" spans="1:32" ht="25.95" customHeight="1" x14ac:dyDescent="0.3">
      <c r="A113" s="34"/>
      <c r="B113" s="44" t="s">
        <v>75</v>
      </c>
      <c r="C113" s="391" t="s">
        <v>644</v>
      </c>
      <c r="D113" s="391" t="str">
        <f t="shared" si="18"/>
        <v>EURO</v>
      </c>
      <c r="E113" s="374">
        <f>IF(DelkaProjektu&gt;=E$27,'2. Input Data On-Premise '!$L$95+'2. Input Data On-Premise '!$L$96,0)</f>
        <v>0</v>
      </c>
      <c r="F113" s="374">
        <f>IF(DelkaProjektu&gt;=F$27,'2. Input Data On-Premise '!$L$95+'2. Input Data On-Premise '!$L$96,0)</f>
        <v>0</v>
      </c>
      <c r="G113" s="374">
        <f>IF(DelkaProjektu&gt;=G$27,'2. Input Data On-Premise '!$L$95+'2. Input Data On-Premise '!$L$96,0)</f>
        <v>0</v>
      </c>
      <c r="H113" s="374">
        <f>IF(DelkaProjektu&gt;=H$27,'2. Input Data On-Premise '!$L$95+'2. Input Data On-Premise '!$L$96,0)</f>
        <v>0</v>
      </c>
      <c r="I113" s="374">
        <f>IF(DelkaProjektu&gt;=I$27,'2. Input Data On-Premise '!$L$95+'2. Input Data On-Premise '!$L$96,0)</f>
        <v>0</v>
      </c>
      <c r="J113" s="380">
        <f t="shared" si="24"/>
        <v>0</v>
      </c>
      <c r="K113" s="34"/>
      <c r="L113" s="73" t="s">
        <v>165</v>
      </c>
      <c r="M113" s="74"/>
      <c r="N113" s="35" t="s">
        <v>170</v>
      </c>
      <c r="O113" s="75"/>
      <c r="P113" s="76"/>
      <c r="Q113" s="76"/>
      <c r="R113" s="76"/>
      <c r="S113" s="27"/>
      <c r="T113" s="27"/>
      <c r="U113" s="27"/>
      <c r="V113" s="27"/>
      <c r="W113" s="27"/>
      <c r="X113" s="27"/>
      <c r="Y113" s="27"/>
      <c r="Z113" s="27"/>
      <c r="AA113" s="27"/>
      <c r="AB113" s="27"/>
      <c r="AC113" s="27"/>
      <c r="AD113" s="27"/>
      <c r="AE113" s="27"/>
      <c r="AF113" s="27"/>
    </row>
    <row r="114" spans="1:32" x14ac:dyDescent="0.3">
      <c r="B114" s="21" t="s">
        <v>197</v>
      </c>
      <c r="C114" s="377" t="s">
        <v>460</v>
      </c>
      <c r="D114" s="377" t="str">
        <f t="shared" si="18"/>
        <v>EURO</v>
      </c>
      <c r="E114" s="378">
        <f>SUM(E115:E118)</f>
        <v>0</v>
      </c>
      <c r="F114" s="378">
        <f t="shared" ref="F114:J114" si="25">SUM(F115:F118)</f>
        <v>0</v>
      </c>
      <c r="G114" s="378">
        <f t="shared" si="25"/>
        <v>0</v>
      </c>
      <c r="H114" s="378">
        <f t="shared" si="25"/>
        <v>0</v>
      </c>
      <c r="I114" s="378">
        <f t="shared" si="25"/>
        <v>0</v>
      </c>
      <c r="J114" s="378">
        <f t="shared" si="25"/>
        <v>0</v>
      </c>
      <c r="K114" s="52"/>
      <c r="L114" s="73" t="s">
        <v>165</v>
      </c>
      <c r="M114" s="39"/>
      <c r="N114" s="53" t="s">
        <v>198</v>
      </c>
      <c r="O114" s="42"/>
      <c r="P114" s="43"/>
      <c r="Q114" s="43"/>
      <c r="R114" s="43"/>
    </row>
    <row r="115" spans="1:32" x14ac:dyDescent="0.3">
      <c r="B115" s="19" t="s">
        <v>129</v>
      </c>
      <c r="C115" s="364" t="s">
        <v>461</v>
      </c>
      <c r="D115" s="364" t="str">
        <f t="shared" si="18"/>
        <v>EURO</v>
      </c>
      <c r="E115" s="374">
        <f>IF(AND('2. Input Data On-Premise '!$D$220="NO",DelkaProjektu&gt;=E$27),('2. Input Data On-Premise '!$L$211+'2. Input Data On-Premise '!$L$212)/DelkaProjektu,IF(DelkaProjektu=E$27,'2. Input Data On-Premise '!$L$212+'2. Input Data On-Premise '!$L$211,0))</f>
        <v>0</v>
      </c>
      <c r="F115" s="374">
        <f>IF(AND('2. Input Data On-Premise '!$D$220="NO",DelkaProjektu&gt;=F$27),('2. Input Data On-Premise '!$L$211+'2. Input Data On-Premise '!$L$212)/DelkaProjektu,IF(DelkaProjektu=F$27,'2. Input Data On-Premise '!$L$212+'2. Input Data On-Premise '!$L$211,0))</f>
        <v>0</v>
      </c>
      <c r="G115" s="374">
        <f>IF(AND('2. Input Data On-Premise '!$D$220="NO",DelkaProjektu&gt;=G$27),('2. Input Data On-Premise '!$L$211+'2. Input Data On-Premise '!$L$212)/DelkaProjektu,IF(DelkaProjektu=G$27,'2. Input Data On-Premise '!$L$212+'2. Input Data On-Premise '!$L$211,0))</f>
        <v>0</v>
      </c>
      <c r="H115" s="374">
        <f>IF(AND('2. Input Data On-Premise '!$D$220="NO",DelkaProjektu&gt;=H$27),('2. Input Data On-Premise '!$L$211+'2. Input Data On-Premise '!$L$212)/DelkaProjektu,IF(DelkaProjektu=H$27,'2. Input Data On-Premise '!$L$212+'2. Input Data On-Premise '!$L$211,0))</f>
        <v>0</v>
      </c>
      <c r="I115" s="374">
        <f>IF(AND('2. Input Data On-Premise '!$D$220="NO",DelkaProjektu&gt;=I$27),('2. Input Data On-Premise '!$L$211+'2. Input Data On-Premise '!$L$212)/DelkaProjektu,IF(DelkaProjektu=I$27,'2. Input Data On-Premise '!$L$212+'2. Input Data On-Premise '!$L$211,0))</f>
        <v>0</v>
      </c>
      <c r="J115" s="380">
        <f t="shared" si="22"/>
        <v>0</v>
      </c>
      <c r="K115" s="52"/>
      <c r="L115" s="73" t="s">
        <v>165</v>
      </c>
      <c r="N115" s="39" t="s">
        <v>166</v>
      </c>
    </row>
    <row r="116" spans="1:32" x14ac:dyDescent="0.3">
      <c r="B116" s="19" t="s">
        <v>131</v>
      </c>
      <c r="C116" s="364" t="s">
        <v>462</v>
      </c>
      <c r="D116" s="364" t="str">
        <f t="shared" si="18"/>
        <v>EURO</v>
      </c>
      <c r="E116" s="374">
        <f>IF(AND('2. Input Data On-Premise '!$D$220="NO",DelkaProjektu&gt;=E$27),('2. Input Data On-Premise '!$L$213+'2. Input Data On-Premise '!$L$214)/DelkaProjektu,IF(DelkaProjektu=E$27,'2. Input Data On-Premise '!$L$213+'2. Input Data On-Premise '!$L$214,0))</f>
        <v>0</v>
      </c>
      <c r="F116" s="374">
        <f>IF(AND('2. Input Data On-Premise '!$D$220="NO",DelkaProjektu&gt;=F$27),('2. Input Data On-Premise '!$L$213+'2. Input Data On-Premise '!$L$214)/DelkaProjektu,IF(DelkaProjektu=F$27,'2. Input Data On-Premise '!$L$213+'2. Input Data On-Premise '!$L$214,0))</f>
        <v>0</v>
      </c>
      <c r="G116" s="374">
        <f>IF(AND('2. Input Data On-Premise '!$D$220="NO",DelkaProjektu&gt;=G$27),('2. Input Data On-Premise '!$L$213+'2. Input Data On-Premise '!$L$214)/DelkaProjektu,IF(DelkaProjektu=G$27,'2. Input Data On-Premise '!$L$213+'2. Input Data On-Premise '!$L$214,0))</f>
        <v>0</v>
      </c>
      <c r="H116" s="374">
        <f>IF(AND('2. Input Data On-Premise '!$D$220="NO",DelkaProjektu&gt;=H$27),('2. Input Data On-Premise '!$L$213+'2. Input Data On-Premise '!$L$214)/DelkaProjektu,IF(DelkaProjektu=H$27,'2. Input Data On-Premise '!$L$213+'2. Input Data On-Premise '!$L$214,0))</f>
        <v>0</v>
      </c>
      <c r="I116" s="374">
        <f>IF(AND('2. Input Data On-Premise '!$D$220="NO",DelkaProjektu&gt;=I$27),('2. Input Data On-Premise '!$L$213+'2. Input Data On-Premise '!$L$214)/DelkaProjektu,IF(DelkaProjektu=I$27,'2. Input Data On-Premise '!$L$213+'2. Input Data On-Premise '!$L$214,0))</f>
        <v>0</v>
      </c>
      <c r="J116" s="380">
        <f t="shared" si="22"/>
        <v>0</v>
      </c>
      <c r="K116" s="52"/>
      <c r="L116" s="73" t="s">
        <v>165</v>
      </c>
      <c r="N116" s="39" t="s">
        <v>166</v>
      </c>
    </row>
    <row r="117" spans="1:32" x14ac:dyDescent="0.3">
      <c r="B117" s="19" t="s">
        <v>132</v>
      </c>
      <c r="C117" s="364" t="s">
        <v>645</v>
      </c>
      <c r="D117" s="364" t="str">
        <f t="shared" si="18"/>
        <v>EURO</v>
      </c>
      <c r="E117" s="374">
        <f>IF(AND('2. Input Data On-Premise '!$D$220="NO",DelkaProjektu&gt;=E$27),('2. Input Data On-Premise '!$L$215+'2. Input Data On-Premise '!$L$216)/DelkaProjektu,IF(DelkaProjektu=E$27,'2. Input Data On-Premise '!$L$215+'2. Input Data On-Premise '!$L$216,0))</f>
        <v>0</v>
      </c>
      <c r="F117" s="374">
        <f>IF(AND('2. Input Data On-Premise '!$D$220="NO",DelkaProjektu&gt;=F$27),('2. Input Data On-Premise '!$L$215+'2. Input Data On-Premise '!$L$216)/DelkaProjektu,IF(DelkaProjektu=F$27,'2. Input Data On-Premise '!$L$215+'2. Input Data On-Premise '!$L$216,0))</f>
        <v>0</v>
      </c>
      <c r="G117" s="374">
        <f>IF(AND('2. Input Data On-Premise '!$D$220="NO",DelkaProjektu&gt;=G$27),('2. Input Data On-Premise '!$L$215+'2. Input Data On-Premise '!$L$216)/DelkaProjektu,IF(DelkaProjektu=G$27,'2. Input Data On-Premise '!$L$215+'2. Input Data On-Premise '!$L$216,0))</f>
        <v>0</v>
      </c>
      <c r="H117" s="374">
        <f>IF(AND('2. Input Data On-Premise '!$D$220="NO",DelkaProjektu&gt;=H$27),('2. Input Data On-Premise '!$L$215+'2. Input Data On-Premise '!$L$216)/DelkaProjektu,IF(DelkaProjektu=H$27,'2. Input Data On-Premise '!$L$215+'2. Input Data On-Premise '!$L$216,0))</f>
        <v>0</v>
      </c>
      <c r="I117" s="374">
        <f>IF(AND('2. Input Data On-Premise '!$D$220="NO",DelkaProjektu&gt;=I$27),('2. Input Data On-Premise '!$L$215+'2. Input Data On-Premise '!$L$216)/DelkaProjektu,IF(DelkaProjektu=I$27,'2. Input Data On-Premise '!$L$215+'2. Input Data On-Premise '!$L$216,0))</f>
        <v>0</v>
      </c>
      <c r="J117" s="380">
        <f t="shared" si="22"/>
        <v>0</v>
      </c>
      <c r="K117" s="52"/>
      <c r="L117" s="73" t="s">
        <v>165</v>
      </c>
      <c r="N117" s="35" t="s">
        <v>166</v>
      </c>
    </row>
    <row r="118" spans="1:32" x14ac:dyDescent="0.3">
      <c r="B118" s="19" t="s">
        <v>133</v>
      </c>
      <c r="C118" s="364" t="s">
        <v>465</v>
      </c>
      <c r="D118" s="364" t="str">
        <f t="shared" si="18"/>
        <v>EURO</v>
      </c>
      <c r="E118" s="374">
        <f>IF(AND('2. Input Data On-Premise '!$D$220="NO",DelkaProjektu&gt;=E$27),('2. Input Data On-Premise '!$L$217+'2. Input Data On-Premise '!$L$218)/DelkaProjektu,IF(DelkaProjektu=E$27,'2. Input Data On-Premise '!$L$217+'2. Input Data On-Premise '!$L$218,0))</f>
        <v>0</v>
      </c>
      <c r="F118" s="374">
        <f>IF(AND('2. Input Data On-Premise '!$D$220="NO",DelkaProjektu&gt;=F$27),('2. Input Data On-Premise '!$L$217+'2. Input Data On-Premise '!$L$218)/DelkaProjektu,IF(DelkaProjektu=F$27,'2. Input Data On-Premise '!$L$217+'2. Input Data On-Premise '!$L$218,0))</f>
        <v>0</v>
      </c>
      <c r="G118" s="374">
        <f>IF(AND('2. Input Data On-Premise '!$D$220="NO",DelkaProjektu&gt;=G$27),('2. Input Data On-Premise '!$L$217+'2. Input Data On-Premise '!$L$218)/DelkaProjektu,IF(DelkaProjektu=G$27,'2. Input Data On-Premise '!$L$217+'2. Input Data On-Premise '!$L$218,0))</f>
        <v>0</v>
      </c>
      <c r="H118" s="374">
        <f>IF(AND('2. Input Data On-Premise '!$D$220="NO",DelkaProjektu&gt;=H$27),('2. Input Data On-Premise '!$L$217+'2. Input Data On-Premise '!$L$218)/DelkaProjektu,IF(DelkaProjektu=H$27,'2. Input Data On-Premise '!$L$217+'2. Input Data On-Premise '!$L$218,0))</f>
        <v>0</v>
      </c>
      <c r="I118" s="374">
        <f>IF(AND('2. Input Data On-Premise '!$D$220="NO",DelkaProjektu&gt;=I$27),('2. Input Data On-Premise '!$L$217+'2. Input Data On-Premise '!$L$218)/DelkaProjektu,IF(DelkaProjektu=I$27,'2. Input Data On-Premise '!$L$217+'2. Input Data On-Premise '!$L$218,0))</f>
        <v>0</v>
      </c>
      <c r="J118" s="380">
        <f t="shared" si="22"/>
        <v>0</v>
      </c>
      <c r="K118" s="52"/>
      <c r="L118" s="73" t="s">
        <v>165</v>
      </c>
      <c r="N118" s="35" t="s">
        <v>199</v>
      </c>
      <c r="O118" s="35" t="s">
        <v>167</v>
      </c>
    </row>
    <row r="119" spans="1:32" x14ac:dyDescent="0.3">
      <c r="B119" s="21" t="s">
        <v>200</v>
      </c>
      <c r="C119" s="377" t="s">
        <v>595</v>
      </c>
      <c r="D119" s="377" t="str">
        <f t="shared" si="18"/>
        <v>EURO</v>
      </c>
      <c r="E119" s="378">
        <f>SUM(E120:E123)</f>
        <v>0</v>
      </c>
      <c r="F119" s="378">
        <f t="shared" ref="F119:J119" si="26">SUM(F120:F123)</f>
        <v>0</v>
      </c>
      <c r="G119" s="378">
        <f t="shared" si="26"/>
        <v>0</v>
      </c>
      <c r="H119" s="378">
        <f t="shared" si="26"/>
        <v>0</v>
      </c>
      <c r="I119" s="378">
        <f t="shared" si="26"/>
        <v>0</v>
      </c>
      <c r="J119" s="378">
        <f t="shared" si="26"/>
        <v>0</v>
      </c>
      <c r="K119" s="52"/>
      <c r="L119" s="73" t="s">
        <v>165</v>
      </c>
      <c r="M119" s="53"/>
      <c r="N119" s="53" t="s">
        <v>198</v>
      </c>
    </row>
    <row r="120" spans="1:32" x14ac:dyDescent="0.3">
      <c r="B120" s="19" t="s">
        <v>134</v>
      </c>
      <c r="C120" s="364" t="s">
        <v>469</v>
      </c>
      <c r="D120" s="364" t="str">
        <f t="shared" si="18"/>
        <v>EURO</v>
      </c>
      <c r="E120" s="365">
        <f>IF(AND('2. Input Data On-Premise '!$D$232="NO",DelkaProjektu&gt;=E$27),('2. Input Data On-Premise '!$L$223+'2. Input Data On-Premise '!$L$224)/DelkaProjektu,IF(DelkaProjektu=E$27,'2. Input Data On-Premise '!$L$223+'2. Input Data On-Premise '!$L$224,0))</f>
        <v>0</v>
      </c>
      <c r="F120" s="365">
        <f>IF(AND('2. Input Data On-Premise '!$D$232="NO",DelkaProjektu&gt;=F$27),('2. Input Data On-Premise '!$L$223+'2. Input Data On-Premise '!$L$224)/DelkaProjektu,IF(DelkaProjektu=F$27,'2. Input Data On-Premise '!$L$223+'2. Input Data On-Premise '!$L$224,0))</f>
        <v>0</v>
      </c>
      <c r="G120" s="365">
        <f>IF(AND('2. Input Data On-Premise '!$D$232="NO",DelkaProjektu&gt;=G$27),('2. Input Data On-Premise '!$L$223+'2. Input Data On-Premise '!$L$224)/DelkaProjektu,IF(DelkaProjektu=G$27,'2. Input Data On-Premise '!$L$223+'2. Input Data On-Premise '!$L$224,0))</f>
        <v>0</v>
      </c>
      <c r="H120" s="365">
        <f>IF(AND('2. Input Data On-Premise '!$D$232="NO",DelkaProjektu&gt;=H$27),('2. Input Data On-Premise '!$L$223+'2. Input Data On-Premise '!$L$224)/DelkaProjektu,IF(DelkaProjektu=H$27,'2. Input Data On-Premise '!$L$223+'2. Input Data On-Premise '!$L$224,0))</f>
        <v>0</v>
      </c>
      <c r="I120" s="365">
        <f>IF(AND('2. Input Data On-Premise '!$D$232="NO",DelkaProjektu&gt;=I$27),('2. Input Data On-Premise '!$L$223+'2. Input Data On-Premise '!$L$224)/DelkaProjektu,IF(DelkaProjektu=I$27,'2. Input Data On-Premise '!$L$223+'2. Input Data On-Premise '!$L$224,0))</f>
        <v>0</v>
      </c>
      <c r="J120" s="380">
        <f t="shared" si="22"/>
        <v>0</v>
      </c>
      <c r="K120" s="52"/>
      <c r="L120" s="73" t="s">
        <v>165</v>
      </c>
      <c r="N120" s="35" t="s">
        <v>166</v>
      </c>
    </row>
    <row r="121" spans="1:32" x14ac:dyDescent="0.3">
      <c r="B121" s="19" t="s">
        <v>135</v>
      </c>
      <c r="C121" s="364" t="s">
        <v>470</v>
      </c>
      <c r="D121" s="364" t="str">
        <f t="shared" si="18"/>
        <v>EURO</v>
      </c>
      <c r="E121" s="365">
        <f>IF(AND('2. Input Data On-Premise '!$D$232="NO",DelkaProjektu&gt;=E$27),('2. Input Data On-Premise '!$L$225+'2. Input Data On-Premise '!$L$226)/DelkaProjektu,IF(DelkaProjektu=E$27,'2. Input Data On-Premise '!$L$225+'2. Input Data On-Premise '!$L$226,0))</f>
        <v>0</v>
      </c>
      <c r="F121" s="365">
        <f>IF(AND('2. Input Data On-Premise '!$D$232="NO",DelkaProjektu&gt;=F$27),('2. Input Data On-Premise '!$L$225+'2. Input Data On-Premise '!$L$226)/DelkaProjektu,IF(DelkaProjektu=F$27,'2. Input Data On-Premise '!$L$225+'2. Input Data On-Premise '!$L$226,0))</f>
        <v>0</v>
      </c>
      <c r="G121" s="365">
        <f>IF(AND('2. Input Data On-Premise '!$D$232="NO",DelkaProjektu&gt;=G$27),('2. Input Data On-Premise '!$L$225+'2. Input Data On-Premise '!$L$226)/DelkaProjektu,IF(DelkaProjektu=G$27,'2. Input Data On-Premise '!$L$225+'2. Input Data On-Premise '!$L$226,0))</f>
        <v>0</v>
      </c>
      <c r="H121" s="365">
        <f>IF(AND('2. Input Data On-Premise '!$D$232="NO",DelkaProjektu&gt;=H$27),('2. Input Data On-Premise '!$L$225+'2. Input Data On-Premise '!$L$226)/DelkaProjektu,IF(DelkaProjektu=H$27,'2. Input Data On-Premise '!$L$225+'2. Input Data On-Premise '!$L$226,0))</f>
        <v>0</v>
      </c>
      <c r="I121" s="365">
        <f>IF(AND('2. Input Data On-Premise '!$D$232="NO",DelkaProjektu&gt;=I$27),('2. Input Data On-Premise '!$L$225+'2. Input Data On-Premise '!$L$226)/DelkaProjektu,IF(DelkaProjektu=I$27,'2. Input Data On-Premise '!$L$225+'2. Input Data On-Premise '!$L$226,0))</f>
        <v>0</v>
      </c>
      <c r="J121" s="380">
        <f t="shared" si="22"/>
        <v>0</v>
      </c>
      <c r="K121" s="52"/>
      <c r="L121" s="73" t="s">
        <v>165</v>
      </c>
      <c r="N121" s="35" t="s">
        <v>170</v>
      </c>
    </row>
    <row r="122" spans="1:32" x14ac:dyDescent="0.3">
      <c r="B122" s="19" t="s">
        <v>136</v>
      </c>
      <c r="C122" s="364" t="s">
        <v>471</v>
      </c>
      <c r="D122" s="364" t="str">
        <f t="shared" si="18"/>
        <v>EURO</v>
      </c>
      <c r="E122" s="365">
        <f>IF(AND('2. Input Data On-Premise '!$D$232="NO",DelkaProjektu&gt;=E$27),('2. Input Data On-Premise '!$L$227+'2. Input Data On-Premise '!$L$228)/DelkaProjektu,IF(DelkaProjektu=E$27,'2. Input Data On-Premise '!$L$227+'2. Input Data On-Premise '!$L$228,0))</f>
        <v>0</v>
      </c>
      <c r="F122" s="365">
        <f>IF(AND('2. Input Data On-Premise '!$D$232="NO",DelkaProjektu&gt;=F$27),('2. Input Data On-Premise '!$L$227+'2. Input Data On-Premise '!$L$228)/DelkaProjektu,IF(DelkaProjektu=F$27,'2. Input Data On-Premise '!$L$227+'2. Input Data On-Premise '!$L$228,0))</f>
        <v>0</v>
      </c>
      <c r="G122" s="365">
        <f>IF(AND('2. Input Data On-Premise '!$D$232="NO",DelkaProjektu&gt;=G$27),('2. Input Data On-Premise '!$L$227+'2. Input Data On-Premise '!$L$228)/DelkaProjektu,IF(DelkaProjektu=G$27,'2. Input Data On-Premise '!$L$227+'2. Input Data On-Premise '!$L$228,0))</f>
        <v>0</v>
      </c>
      <c r="H122" s="365">
        <f>IF(AND('2. Input Data On-Premise '!$D$232="NO",DelkaProjektu&gt;=H$27),('2. Input Data On-Premise '!$L$227+'2. Input Data On-Premise '!$L$228)/DelkaProjektu,IF(DelkaProjektu=H$27,'2. Input Data On-Premise '!$L$227+'2. Input Data On-Premise '!$L$228,0))</f>
        <v>0</v>
      </c>
      <c r="I122" s="365">
        <f>IF(AND('2. Input Data On-Premise '!$D$232="NO",DelkaProjektu&gt;=I$27),('2. Input Data On-Premise '!$L$227+'2. Input Data On-Premise '!$L$228)/DelkaProjektu,IF(DelkaProjektu=I$27,'2. Input Data On-Premise '!$L$227+'2. Input Data On-Premise '!$L$228,0))</f>
        <v>0</v>
      </c>
      <c r="J122" s="380">
        <f t="shared" si="22"/>
        <v>0</v>
      </c>
      <c r="K122" s="52"/>
      <c r="L122" s="73" t="s">
        <v>165</v>
      </c>
      <c r="N122" s="35" t="s">
        <v>170</v>
      </c>
    </row>
    <row r="123" spans="1:32" x14ac:dyDescent="0.3">
      <c r="B123" s="19" t="s">
        <v>137</v>
      </c>
      <c r="C123" s="364" t="s">
        <v>596</v>
      </c>
      <c r="D123" s="364" t="str">
        <f t="shared" si="18"/>
        <v>EURO</v>
      </c>
      <c r="E123" s="365">
        <f>IF(AND('2. Input Data On-Premise '!$D$232="NO",DelkaProjektu&gt;=E$27),('2. Input Data On-Premise '!$L$229+'2. Input Data On-Premise '!$L$230)/DelkaProjektu,IF(DelkaProjektu=E$27,'2. Input Data On-Premise '!$L$229+'2. Input Data On-Premise '!$L$230,0))</f>
        <v>0</v>
      </c>
      <c r="F123" s="365">
        <f>IF(AND('2. Input Data On-Premise '!$D$232="NO",DelkaProjektu&gt;=F$27),('2. Input Data On-Premise '!$L$229+'2. Input Data On-Premise '!$L$230)/DelkaProjektu,IF(DelkaProjektu=F$27,'2. Input Data On-Premise '!$L$229+'2. Input Data On-Premise '!$L$230,0))</f>
        <v>0</v>
      </c>
      <c r="G123" s="365">
        <f>IF(AND('2. Input Data On-Premise '!$D$232="NO",DelkaProjektu&gt;=G$27),('2. Input Data On-Premise '!$L$229+'2. Input Data On-Premise '!$L$230)/DelkaProjektu,IF(DelkaProjektu=G$27,'2. Input Data On-Premise '!$L$229+'2. Input Data On-Premise '!$L$230,0))</f>
        <v>0</v>
      </c>
      <c r="H123" s="365">
        <f>IF(AND('2. Input Data On-Premise '!$D$232="NO",DelkaProjektu&gt;=H$27),('2. Input Data On-Premise '!$L$229+'2. Input Data On-Premise '!$L$230)/DelkaProjektu,IF(DelkaProjektu=H$27,'2. Input Data On-Premise '!$L$229+'2. Input Data On-Premise '!$L$230,0))</f>
        <v>0</v>
      </c>
      <c r="I123" s="365">
        <f>IF(AND('2. Input Data On-Premise '!$D$232="NO",DelkaProjektu&gt;=I$27),('2. Input Data On-Premise '!$L$229+'2. Input Data On-Premise '!$L$230)/DelkaProjektu,IF(DelkaProjektu=I$27,'2. Input Data On-Premise '!$L$229+'2. Input Data On-Premise '!$L$230,0))</f>
        <v>0</v>
      </c>
      <c r="J123" s="380">
        <f t="shared" si="22"/>
        <v>0</v>
      </c>
      <c r="K123" s="52"/>
      <c r="L123" s="73" t="s">
        <v>165</v>
      </c>
      <c r="N123" s="35" t="s">
        <v>170</v>
      </c>
    </row>
    <row r="124" spans="1:32" x14ac:dyDescent="0.3">
      <c r="B124" s="21" t="s">
        <v>201</v>
      </c>
      <c r="C124" s="377" t="s">
        <v>473</v>
      </c>
      <c r="D124" s="377" t="str">
        <f t="shared" ref="D124:D138" si="27">JenotkaMěny</f>
        <v>EURO</v>
      </c>
      <c r="E124" s="378">
        <f>E125+E128</f>
        <v>0</v>
      </c>
      <c r="F124" s="378">
        <f>F125+F128</f>
        <v>0</v>
      </c>
      <c r="G124" s="378">
        <f>G125+G128</f>
        <v>0</v>
      </c>
      <c r="H124" s="378">
        <f>H125+H128</f>
        <v>0</v>
      </c>
      <c r="I124" s="378">
        <f>I125+I128</f>
        <v>0</v>
      </c>
      <c r="J124" s="378">
        <f>SUM(E124:I124)</f>
        <v>0</v>
      </c>
      <c r="K124" s="52"/>
      <c r="L124" s="73" t="s">
        <v>165</v>
      </c>
      <c r="M124" s="39"/>
      <c r="N124" s="39" t="s">
        <v>202</v>
      </c>
    </row>
    <row r="125" spans="1:32" x14ac:dyDescent="0.3">
      <c r="B125" s="19" t="s">
        <v>203</v>
      </c>
      <c r="C125" s="364" t="s">
        <v>646</v>
      </c>
      <c r="D125" s="364" t="str">
        <f t="shared" si="27"/>
        <v>EURO</v>
      </c>
      <c r="E125" s="365">
        <f>SUM(E126:E127)</f>
        <v>0</v>
      </c>
      <c r="F125" s="374">
        <f>SUM(F126:F127)</f>
        <v>0</v>
      </c>
      <c r="G125" s="374">
        <f>SUM(G126:G127)</f>
        <v>0</v>
      </c>
      <c r="H125" s="374">
        <f>SUM(H126:H127)</f>
        <v>0</v>
      </c>
      <c r="I125" s="374">
        <f>SUM(I126:I127)</f>
        <v>0</v>
      </c>
      <c r="J125" s="380">
        <f t="shared" si="22"/>
        <v>0</v>
      </c>
      <c r="K125" s="52"/>
      <c r="L125" s="73" t="s">
        <v>165</v>
      </c>
      <c r="N125" s="35" t="s">
        <v>166</v>
      </c>
    </row>
    <row r="126" spans="1:32" outlineLevel="1" x14ac:dyDescent="0.3">
      <c r="B126" s="45" t="s">
        <v>204</v>
      </c>
      <c r="C126" s="393" t="s">
        <v>647</v>
      </c>
      <c r="D126" s="393" t="str">
        <f t="shared" si="27"/>
        <v>EURO</v>
      </c>
      <c r="E126" s="394">
        <f>IF(DelkaProjektu&gt;=E$27,'2. Input Data On-Premise '!$L$235+'2. Input Data On-Premise '!$L$236,0)</f>
        <v>0</v>
      </c>
      <c r="F126" s="394">
        <f>IF(DelkaProjektu&gt;=F$27,'2. Input Data On-Premise '!$L$235+'2. Input Data On-Premise '!$L$236,0)</f>
        <v>0</v>
      </c>
      <c r="G126" s="394">
        <f>IF(DelkaProjektu&gt;=G$27,'2. Input Data On-Premise '!$L$235+'2. Input Data On-Premise '!$L$236,0)</f>
        <v>0</v>
      </c>
      <c r="H126" s="394">
        <f>IF(DelkaProjektu&gt;=H$27,'2. Input Data On-Premise '!$L$235+'2. Input Data On-Premise '!$L$236,0)</f>
        <v>0</v>
      </c>
      <c r="I126" s="394">
        <f>IF(DelkaProjektu&gt;=I$27,'2. Input Data On-Premise '!$L$235+'2. Input Data On-Premise '!$L$236,0)</f>
        <v>0</v>
      </c>
      <c r="J126" s="390">
        <f>SUM(E126:I126)</f>
        <v>0</v>
      </c>
      <c r="K126" s="52"/>
      <c r="L126" s="73" t="s">
        <v>165</v>
      </c>
      <c r="N126" s="35" t="s">
        <v>166</v>
      </c>
    </row>
    <row r="127" spans="1:32" outlineLevel="1" x14ac:dyDescent="0.3">
      <c r="B127" s="45" t="s">
        <v>140</v>
      </c>
      <c r="C127" s="393" t="s">
        <v>648</v>
      </c>
      <c r="D127" s="393" t="str">
        <f t="shared" si="27"/>
        <v>EURO</v>
      </c>
      <c r="E127" s="394">
        <f>IF(DelkaProjektu&gt;=E$27,'2. Input Data On-Premise '!$L$237+'2. Input Data On-Premise '!$L$238,0)</f>
        <v>0</v>
      </c>
      <c r="F127" s="394">
        <f>IF(DelkaProjektu&gt;=F$27,'2. Input Data On-Premise '!$L$237+'2. Input Data On-Premise '!$L$238,0)</f>
        <v>0</v>
      </c>
      <c r="G127" s="394">
        <f>IF(DelkaProjektu&gt;=G$27,'2. Input Data On-Premise '!$L$237+'2. Input Data On-Premise '!$L$238,0)</f>
        <v>0</v>
      </c>
      <c r="H127" s="394">
        <f>IF(DelkaProjektu&gt;=H$27,'2. Input Data On-Premise '!$L$237+'2. Input Data On-Premise '!$L$238,0)</f>
        <v>0</v>
      </c>
      <c r="I127" s="394">
        <f>IF(DelkaProjektu&gt;=I$27,'2. Input Data On-Premise '!$L$237+'2. Input Data On-Premise '!$L$238,0)</f>
        <v>0</v>
      </c>
      <c r="J127" s="390">
        <f>SUM(E127:I127)</f>
        <v>0</v>
      </c>
      <c r="K127" s="52"/>
      <c r="L127" s="73" t="s">
        <v>165</v>
      </c>
      <c r="N127" s="35" t="s">
        <v>166</v>
      </c>
    </row>
    <row r="128" spans="1:32" x14ac:dyDescent="0.3">
      <c r="B128" s="19" t="s">
        <v>141</v>
      </c>
      <c r="C128" s="364" t="s">
        <v>649</v>
      </c>
      <c r="D128" s="364" t="str">
        <f t="shared" si="27"/>
        <v>EURO</v>
      </c>
      <c r="E128" s="374">
        <f>IF(DelkaProjektu&gt;=E$27,'2. Input Data On-Premise '!$L$239+'2. Input Data On-Premise '!$L$240,0)</f>
        <v>0</v>
      </c>
      <c r="F128" s="374">
        <f>IF(DelkaProjektu&gt;=F$27,'2. Input Data On-Premise '!$L$239+'2. Input Data On-Premise '!$L$240,0)</f>
        <v>0</v>
      </c>
      <c r="G128" s="374">
        <f>IF(DelkaProjektu&gt;=G$27,'2. Input Data On-Premise '!$L$239+'2. Input Data On-Premise '!$L$240,0)</f>
        <v>0</v>
      </c>
      <c r="H128" s="374">
        <f>IF(DelkaProjektu&gt;=H$27,'2. Input Data On-Premise '!$L$239+'2. Input Data On-Premise '!$L$240,0)</f>
        <v>0</v>
      </c>
      <c r="I128" s="374">
        <f>IF(DelkaProjektu&gt;=I$27,'2. Input Data On-Premise '!$L$239+'2. Input Data On-Premise '!$L$240,0)</f>
        <v>0</v>
      </c>
      <c r="J128" s="380">
        <f t="shared" si="22"/>
        <v>0</v>
      </c>
      <c r="K128" s="52"/>
      <c r="L128" s="73" t="s">
        <v>165</v>
      </c>
      <c r="N128" s="35" t="s">
        <v>166</v>
      </c>
    </row>
    <row r="129" spans="2:14" x14ac:dyDescent="0.3">
      <c r="B129" s="21" t="s">
        <v>205</v>
      </c>
      <c r="C129" s="377" t="s">
        <v>650</v>
      </c>
      <c r="D129" s="377" t="str">
        <f t="shared" si="27"/>
        <v>EURO</v>
      </c>
      <c r="E129" s="378">
        <f>SUM(E130:E132)</f>
        <v>0</v>
      </c>
      <c r="F129" s="378">
        <f t="shared" ref="F129:J129" si="28">SUM(F130:F132)</f>
        <v>0</v>
      </c>
      <c r="G129" s="378">
        <f t="shared" si="28"/>
        <v>0</v>
      </c>
      <c r="H129" s="378">
        <f t="shared" si="28"/>
        <v>0</v>
      </c>
      <c r="I129" s="378">
        <f t="shared" si="28"/>
        <v>0</v>
      </c>
      <c r="J129" s="378">
        <f t="shared" si="28"/>
        <v>0</v>
      </c>
      <c r="K129" s="52"/>
      <c r="L129" s="73" t="s">
        <v>165</v>
      </c>
      <c r="M129" s="1"/>
      <c r="N129" s="39" t="s">
        <v>198</v>
      </c>
    </row>
    <row r="130" spans="2:14" x14ac:dyDescent="0.3">
      <c r="B130" s="19" t="s">
        <v>142</v>
      </c>
      <c r="C130" s="364" t="s">
        <v>651</v>
      </c>
      <c r="D130" s="364" t="str">
        <f t="shared" si="27"/>
        <v>EURO</v>
      </c>
      <c r="E130" s="365">
        <f>IF(AND('2. Input Data On-Premise '!$D$251="NO",DelkaProjektu&gt;=E$27),('2. Input Data On-Premise '!$L$244+'2. Input Data On-Premise '!$L$245)/DelkaProjektu,IF(DelkaProjektu=E$27,'2. Input Data On-Premise '!$L$244+'2. Input Data On-Premise '!$L$245,0))</f>
        <v>0</v>
      </c>
      <c r="F130" s="365">
        <f>IF(AND('2. Input Data On-Premise '!$D$251="NO",DelkaProjektu&gt;=F$27),('2. Input Data On-Premise '!$L$244+'2. Input Data On-Premise '!$L$245)/DelkaProjektu,IF(DelkaProjektu=F$27,'2. Input Data On-Premise '!$L$244+'2. Input Data On-Premise '!$L$245,0))</f>
        <v>0</v>
      </c>
      <c r="G130" s="365">
        <f>IF(AND('2. Input Data On-Premise '!$D$251="NO",DelkaProjektu&gt;=G$27),('2. Input Data On-Premise '!$L$244+'2. Input Data On-Premise '!$L$245)/DelkaProjektu,IF(DelkaProjektu=G$27,'2. Input Data On-Premise '!$L$244+'2. Input Data On-Premise '!$L$245,0))</f>
        <v>0</v>
      </c>
      <c r="H130" s="365">
        <f>IF(AND('2. Input Data On-Premise '!$D$251="NO",DelkaProjektu&gt;=H$27),('2. Input Data On-Premise '!$L$244+'2. Input Data On-Premise '!$L$245)/DelkaProjektu,IF(DelkaProjektu=H$27,'2. Input Data On-Premise '!$L$244+'2. Input Data On-Premise '!$L$245,0))</f>
        <v>0</v>
      </c>
      <c r="I130" s="365">
        <f>IF(AND('2. Input Data On-Premise '!$D$251="NO",DelkaProjektu&gt;=I$27),('2. Input Data On-Premise '!$L$244+'2. Input Data On-Premise '!$L$245)/DelkaProjektu,IF(DelkaProjektu=I$27,'2. Input Data On-Premise '!$L$244+'2. Input Data On-Premise '!$L$245,0))</f>
        <v>0</v>
      </c>
      <c r="J130" s="380">
        <f t="shared" si="22"/>
        <v>0</v>
      </c>
      <c r="K130" s="52"/>
      <c r="L130" s="73" t="s">
        <v>165</v>
      </c>
      <c r="N130" s="35" t="s">
        <v>166</v>
      </c>
    </row>
    <row r="131" spans="2:14" x14ac:dyDescent="0.3">
      <c r="B131" s="19" t="s">
        <v>143</v>
      </c>
      <c r="C131" s="364" t="s">
        <v>481</v>
      </c>
      <c r="D131" s="364" t="str">
        <f t="shared" si="27"/>
        <v>EURO</v>
      </c>
      <c r="E131" s="365">
        <f>IF(AND('2. Input Data On-Premise '!$D$251="NO",DelkaProjektu&gt;=E$27),('2. Input Data On-Premise '!$L$246+'2. Input Data On-Premise '!$L$247)/DelkaProjektu,IF(DelkaProjektu=E$27,'2. Input Data On-Premise '!$L$246+'2. Input Data On-Premise '!$L$247,0))</f>
        <v>0</v>
      </c>
      <c r="F131" s="365">
        <f>IF(AND('2. Input Data On-Premise '!$D$251="NO",DelkaProjektu&gt;=F$27),('2. Input Data On-Premise '!$L$246+'2. Input Data On-Premise '!$L$247)/DelkaProjektu,IF(DelkaProjektu=F$27,'2. Input Data On-Premise '!$L$246+'2. Input Data On-Premise '!$L$247,0))</f>
        <v>0</v>
      </c>
      <c r="G131" s="365">
        <f>IF(AND('2. Input Data On-Premise '!$D$251="NO",DelkaProjektu&gt;=G$27),('2. Input Data On-Premise '!$L$246+'2. Input Data On-Premise '!$L$247)/DelkaProjektu,IF(DelkaProjektu=G$27,'2. Input Data On-Premise '!$L$246+'2. Input Data On-Premise '!$L$247,0))</f>
        <v>0</v>
      </c>
      <c r="H131" s="365">
        <f>IF(AND('2. Input Data On-Premise '!$D$251="NO",DelkaProjektu&gt;=H$27),('2. Input Data On-Premise '!$L$246+'2. Input Data On-Premise '!$L$247)/DelkaProjektu,IF(DelkaProjektu=H$27,'2. Input Data On-Premise '!$L$246+'2. Input Data On-Premise '!$L$247,0))</f>
        <v>0</v>
      </c>
      <c r="I131" s="365">
        <f>IF(AND('2. Input Data On-Premise '!$D$251="NO",DelkaProjektu&gt;=I$27),('2. Input Data On-Premise '!$L$246+'2. Input Data On-Premise '!$L$247)/DelkaProjektu,IF(DelkaProjektu=I$27,'2. Input Data On-Premise '!$L$246+'2. Input Data On-Premise '!$L$247,0))</f>
        <v>0</v>
      </c>
      <c r="J131" s="380">
        <f t="shared" si="22"/>
        <v>0</v>
      </c>
      <c r="K131" s="52"/>
      <c r="L131" s="73" t="s">
        <v>165</v>
      </c>
      <c r="N131" s="35" t="s">
        <v>166</v>
      </c>
    </row>
    <row r="132" spans="2:14" x14ac:dyDescent="0.3">
      <c r="B132" s="19" t="s">
        <v>144</v>
      </c>
      <c r="C132" s="364" t="s">
        <v>652</v>
      </c>
      <c r="D132" s="364" t="str">
        <f t="shared" si="27"/>
        <v>EURO</v>
      </c>
      <c r="E132" s="365">
        <f>IF(AND('2. Input Data On-Premise '!$D$251="NO",DelkaProjektu&gt;=E$27),('2. Input Data On-Premise '!$L$248+'2. Input Data On-Premise '!$L$249)/DelkaProjektu,IF(DelkaProjektu=E$27,'2. Input Data On-Premise '!$L$248+'2. Input Data On-Premise '!$L$249,0))</f>
        <v>0</v>
      </c>
      <c r="F132" s="365">
        <f>IF(AND('2. Input Data On-Premise '!$D$251="NO",DelkaProjektu&gt;=F$27),('2. Input Data On-Premise '!$L$248+'2. Input Data On-Premise '!$L$249)/DelkaProjektu,IF(DelkaProjektu=F$27,'2. Input Data On-Premise '!$L$248+'2. Input Data On-Premise '!$L$249,0))</f>
        <v>0</v>
      </c>
      <c r="G132" s="365">
        <f>IF(AND('2. Input Data On-Premise '!$D$251="NO",DelkaProjektu&gt;=G$27),('2. Input Data On-Premise '!$L$248+'2. Input Data On-Premise '!$L$249)/DelkaProjektu,IF(DelkaProjektu=G$27,'2. Input Data On-Premise '!$L$248+'2. Input Data On-Premise '!$L$249,0))</f>
        <v>0</v>
      </c>
      <c r="H132" s="365">
        <f>IF(AND('2. Input Data On-Premise '!$D$251="NO",DelkaProjektu&gt;=H$27),('2. Input Data On-Premise '!$L$248+'2. Input Data On-Premise '!$L$249)/DelkaProjektu,IF(DelkaProjektu=H$27,'2. Input Data On-Premise '!$L$248+'2. Input Data On-Premise '!$L$249,0))</f>
        <v>0</v>
      </c>
      <c r="I132" s="365">
        <f>IF(AND('2. Input Data On-Premise '!$D$251="NO",DelkaProjektu&gt;=I$27),('2. Input Data On-Premise '!$L$248+'2. Input Data On-Premise '!$L$249)/DelkaProjektu,IF(DelkaProjektu=I$27,'2. Input Data On-Premise '!$L$248+'2. Input Data On-Premise '!$L$249,0))</f>
        <v>0</v>
      </c>
      <c r="J132" s="380">
        <f t="shared" si="22"/>
        <v>0</v>
      </c>
      <c r="K132" s="52"/>
      <c r="L132" s="73" t="s">
        <v>165</v>
      </c>
      <c r="N132" s="35" t="s">
        <v>166</v>
      </c>
    </row>
    <row r="133" spans="2:14" ht="27.6" x14ac:dyDescent="0.3">
      <c r="B133" s="21" t="s">
        <v>170</v>
      </c>
      <c r="C133" s="376" t="s">
        <v>654</v>
      </c>
      <c r="D133" s="376" t="str">
        <f t="shared" si="27"/>
        <v>EURO</v>
      </c>
      <c r="E133" s="378">
        <f>E134</f>
        <v>0</v>
      </c>
      <c r="F133" s="378">
        <f t="shared" ref="F133:I133" si="29">F134</f>
        <v>0</v>
      </c>
      <c r="G133" s="378">
        <f t="shared" si="29"/>
        <v>0</v>
      </c>
      <c r="H133" s="378">
        <f t="shared" si="29"/>
        <v>0</v>
      </c>
      <c r="I133" s="378">
        <f t="shared" si="29"/>
        <v>0</v>
      </c>
      <c r="J133" s="378">
        <f>SUM(E133:I133)</f>
        <v>0</v>
      </c>
      <c r="K133" s="52"/>
      <c r="L133" s="73" t="s">
        <v>165</v>
      </c>
    </row>
    <row r="134" spans="2:14" x14ac:dyDescent="0.3">
      <c r="B134" s="19" t="s">
        <v>145</v>
      </c>
      <c r="C134" s="364" t="s">
        <v>653</v>
      </c>
      <c r="D134" s="364" t="str">
        <f t="shared" si="27"/>
        <v>EURO</v>
      </c>
      <c r="E134" s="365">
        <f>IF(DelkaProjektu&gt;=E$27,'2. Input Data On-Premise '!$L$259,0)</f>
        <v>0</v>
      </c>
      <c r="F134" s="365">
        <f>IF(DelkaProjektu&gt;=F$27,'2. Input Data On-Premise '!$L$259,0)</f>
        <v>0</v>
      </c>
      <c r="G134" s="365">
        <f>IF(DelkaProjektu&gt;=G$27,'2. Input Data On-Premise '!$L$259,0)</f>
        <v>0</v>
      </c>
      <c r="H134" s="365">
        <f>IF(DelkaProjektu&gt;=H$27,'2. Input Data On-Premise '!$L$259,0)</f>
        <v>0</v>
      </c>
      <c r="I134" s="365">
        <f>IF(DelkaProjektu&gt;=I$27,'2. Input Data On-Premise '!$L$259,0)</f>
        <v>0</v>
      </c>
      <c r="J134" s="380">
        <f>SUM(E134:I134)</f>
        <v>0</v>
      </c>
      <c r="K134" s="52"/>
      <c r="L134" s="73" t="s">
        <v>165</v>
      </c>
      <c r="N134" s="35" t="s">
        <v>166</v>
      </c>
    </row>
    <row r="135" spans="2:14" ht="14.25" customHeight="1" x14ac:dyDescent="0.3">
      <c r="B135" s="21" t="s">
        <v>206</v>
      </c>
      <c r="C135" s="377" t="s">
        <v>655</v>
      </c>
      <c r="D135" s="377" t="str">
        <f t="shared" si="27"/>
        <v>EURO</v>
      </c>
      <c r="E135" s="378">
        <f>SUM(E136:E137)</f>
        <v>0</v>
      </c>
      <c r="F135" s="378">
        <f t="shared" ref="F135:I135" si="30">SUM(F136:F137)</f>
        <v>0</v>
      </c>
      <c r="G135" s="378">
        <f t="shared" si="30"/>
        <v>0</v>
      </c>
      <c r="H135" s="378">
        <f t="shared" si="30"/>
        <v>0</v>
      </c>
      <c r="I135" s="378">
        <f t="shared" si="30"/>
        <v>0</v>
      </c>
      <c r="J135" s="378">
        <f t="shared" si="22"/>
        <v>0</v>
      </c>
      <c r="K135" s="52"/>
      <c r="L135" s="73" t="s">
        <v>165</v>
      </c>
    </row>
    <row r="136" spans="2:14" ht="14.25" customHeight="1" x14ac:dyDescent="0.3">
      <c r="B136" s="19" t="s">
        <v>146</v>
      </c>
      <c r="C136" s="364" t="s">
        <v>656</v>
      </c>
      <c r="D136" s="364" t="str">
        <f t="shared" si="27"/>
        <v>EURO</v>
      </c>
      <c r="E136" s="365">
        <f>IF('2. Input Data On-Premise '!$D$285="YES",'2. Input Data On-Premise '!$L$288+'2. Input Data On-Premise '!$L$291,IF('2. Input Data On-Premise '!$D$285="NO",IF(DelkaProjektu&gt;=E$27,'2. Input Data On-Premise '!$L$291/DelkaProjektu+'2. Input Data On-Premise '!$L$288)))</f>
        <v>0</v>
      </c>
      <c r="F136" s="365">
        <f>IF(DelkaProjektu&gt;=F$27,'2. Input Data On-Premise '!$L$292,0)</f>
        <v>0</v>
      </c>
      <c r="G136" s="365">
        <f>IF(DelkaProjektu&gt;=G$27,'2. Input Data On-Premise '!$L$292,0)</f>
        <v>0</v>
      </c>
      <c r="H136" s="365">
        <f>IF(DelkaProjektu&gt;=H$27,'2. Input Data On-Premise '!$L$292,0)</f>
        <v>0</v>
      </c>
      <c r="I136" s="365">
        <f>IF(DelkaProjektu&gt;=I$27,'2. Input Data On-Premise '!$L$292,0)</f>
        <v>0</v>
      </c>
      <c r="J136" s="366">
        <f t="shared" si="22"/>
        <v>0</v>
      </c>
      <c r="K136" s="52"/>
      <c r="L136" s="73" t="s">
        <v>165</v>
      </c>
      <c r="N136" s="35" t="s">
        <v>166</v>
      </c>
    </row>
    <row r="137" spans="2:14" ht="14.25" customHeight="1" thickBot="1" x14ac:dyDescent="0.35">
      <c r="B137" s="19" t="s">
        <v>147</v>
      </c>
      <c r="C137" s="364" t="s">
        <v>657</v>
      </c>
      <c r="D137" s="364" t="str">
        <f t="shared" si="27"/>
        <v>EURO</v>
      </c>
      <c r="E137" s="365">
        <f>IF('2. Input Data On-Premise '!$D$285="YES",'2. Input Data On-Premise '!$L$296+'2. Input Data On-Premise '!$L$299,IF('2. Input Data On-Premise '!$D$285="NO",IF(DelkaProjektu&gt;=E$27,'2. Input Data On-Premise '!$L$299/DelkaProjektu+'2. Input Data On-Premise '!$L$296)))</f>
        <v>0</v>
      </c>
      <c r="F137" s="365">
        <f>IF(DelkaProjektu&gt;=F$27,'2. Input Data On-Premise '!$L$301,0)</f>
        <v>0</v>
      </c>
      <c r="G137" s="365">
        <f>IF(DelkaProjektu&gt;=G$27,'2. Input Data On-Premise '!$L$301,0)</f>
        <v>0</v>
      </c>
      <c r="H137" s="365">
        <f>IF(DelkaProjektu&gt;=H$27,'2. Input Data On-Premise '!$L$301,0)</f>
        <v>0</v>
      </c>
      <c r="I137" s="365">
        <f>IF(DelkaProjektu&gt;=I$27,'2. Input Data On-Premise '!$L$301,0)</f>
        <v>0</v>
      </c>
      <c r="J137" s="366">
        <f t="shared" si="22"/>
        <v>0</v>
      </c>
      <c r="K137" s="52"/>
      <c r="L137" s="73" t="s">
        <v>165</v>
      </c>
      <c r="N137" s="35" t="s">
        <v>166</v>
      </c>
    </row>
    <row r="138" spans="2:14" ht="22.5" customHeight="1" thickTop="1" thickBot="1" x14ac:dyDescent="0.35">
      <c r="B138" s="20"/>
      <c r="C138" s="395" t="s">
        <v>658</v>
      </c>
      <c r="D138" s="395" t="str">
        <f t="shared" si="27"/>
        <v>EURO</v>
      </c>
      <c r="E138" s="396">
        <f t="shared" ref="E138:J138" si="31">E28+E31+E55+E69+E96+E114+E119+E124+E129+E133+E135</f>
        <v>0</v>
      </c>
      <c r="F138" s="396">
        <f t="shared" si="31"/>
        <v>0</v>
      </c>
      <c r="G138" s="396">
        <f t="shared" si="31"/>
        <v>0</v>
      </c>
      <c r="H138" s="396">
        <f t="shared" si="31"/>
        <v>0</v>
      </c>
      <c r="I138" s="396">
        <f t="shared" si="31"/>
        <v>0</v>
      </c>
      <c r="J138" s="396">
        <f t="shared" si="31"/>
        <v>0</v>
      </c>
      <c r="K138" s="23"/>
      <c r="L138" s="37"/>
    </row>
    <row r="139" spans="2:14" ht="15" thickTop="1" x14ac:dyDescent="0.3">
      <c r="B139" s="20"/>
      <c r="C139" s="397" t="s">
        <v>659</v>
      </c>
      <c r="D139" s="398" t="str">
        <f>MěnaJednotka</f>
        <v>EURO</v>
      </c>
      <c r="E139" s="399">
        <f>E138/1000</f>
        <v>0</v>
      </c>
      <c r="F139" s="399">
        <f>F138/1000</f>
        <v>0</v>
      </c>
      <c r="G139" s="399">
        <f t="shared" ref="G139:I139" si="32">G138/1000</f>
        <v>0</v>
      </c>
      <c r="H139" s="399">
        <f t="shared" si="32"/>
        <v>0</v>
      </c>
      <c r="I139" s="399">
        <f t="shared" si="32"/>
        <v>0</v>
      </c>
      <c r="J139" s="338">
        <f>J138/1000</f>
        <v>0</v>
      </c>
      <c r="K139" s="24"/>
      <c r="L139" s="37"/>
    </row>
    <row r="140" spans="2:14" ht="15" thickBot="1" x14ac:dyDescent="0.35">
      <c r="B140" s="20"/>
      <c r="C140" s="400" t="s">
        <v>660</v>
      </c>
      <c r="D140" s="401" t="str">
        <f>MěnaJednotka</f>
        <v>EURO</v>
      </c>
      <c r="E140" s="402">
        <f t="shared" ref="E140:J140" si="33">E138/PocetUzivatelu</f>
        <v>0</v>
      </c>
      <c r="F140" s="402">
        <f t="shared" si="33"/>
        <v>0</v>
      </c>
      <c r="G140" s="402">
        <f t="shared" si="33"/>
        <v>0</v>
      </c>
      <c r="H140" s="402">
        <f t="shared" si="33"/>
        <v>0</v>
      </c>
      <c r="I140" s="402">
        <f t="shared" si="33"/>
        <v>0</v>
      </c>
      <c r="J140" s="403">
        <f t="shared" si="33"/>
        <v>0</v>
      </c>
      <c r="K140" s="23"/>
      <c r="L140" s="37"/>
    </row>
    <row r="141" spans="2:14" ht="15" thickTop="1" x14ac:dyDescent="0.3">
      <c r="B141" s="20"/>
      <c r="C141" s="385"/>
      <c r="D141" s="404"/>
      <c r="E141" s="405"/>
      <c r="F141" s="405"/>
      <c r="G141" s="405"/>
      <c r="H141" s="405"/>
      <c r="I141" s="405"/>
      <c r="J141" s="406"/>
      <c r="K141" s="24"/>
      <c r="L141" s="37"/>
    </row>
    <row r="142" spans="2:14" x14ac:dyDescent="0.3">
      <c r="B142" s="20"/>
      <c r="C142" s="385"/>
      <c r="D142" s="404"/>
      <c r="E142" s="405"/>
      <c r="F142" s="405"/>
      <c r="G142" s="405"/>
      <c r="H142" s="405"/>
      <c r="I142" s="405"/>
      <c r="J142" s="406"/>
      <c r="K142" s="24"/>
      <c r="L142" s="37"/>
    </row>
    <row r="143" spans="2:14" ht="23.4" customHeight="1" x14ac:dyDescent="0.3">
      <c r="B143" s="84"/>
      <c r="C143" s="407" t="s">
        <v>661</v>
      </c>
      <c r="D143" s="408"/>
      <c r="E143" s="409">
        <v>1</v>
      </c>
      <c r="F143" s="409">
        <v>2</v>
      </c>
      <c r="G143" s="409">
        <v>3</v>
      </c>
      <c r="H143" s="409">
        <v>4</v>
      </c>
      <c r="I143" s="409">
        <v>5</v>
      </c>
      <c r="J143" s="410" t="s">
        <v>522</v>
      </c>
      <c r="K143" s="24"/>
      <c r="L143" s="37"/>
    </row>
    <row r="144" spans="2:14" x14ac:dyDescent="0.3">
      <c r="B144" s="21" t="s">
        <v>164</v>
      </c>
      <c r="C144" s="376" t="s">
        <v>662</v>
      </c>
      <c r="D144" s="377" t="str">
        <f t="shared" ref="D144:D175" si="34">JenotkaMěny</f>
        <v>EURO</v>
      </c>
      <c r="E144" s="378">
        <f>SUM(E145:E146)</f>
        <v>0</v>
      </c>
      <c r="F144" s="378">
        <f t="shared" ref="F144:G144" si="35">SUM(F145:F146)</f>
        <v>0</v>
      </c>
      <c r="G144" s="378">
        <f t="shared" si="35"/>
        <v>0</v>
      </c>
      <c r="H144" s="378">
        <f>SUM(H145:H146)</f>
        <v>0</v>
      </c>
      <c r="I144" s="378">
        <f>SUM(I145:I146)</f>
        <v>0</v>
      </c>
      <c r="J144" s="378">
        <f>SUM(E144:I144)</f>
        <v>0</v>
      </c>
      <c r="K144" s="24"/>
      <c r="L144" s="73" t="s">
        <v>165</v>
      </c>
    </row>
    <row r="145" spans="2:12" x14ac:dyDescent="0.3">
      <c r="B145" s="19" t="s">
        <v>112</v>
      </c>
      <c r="C145" s="389" t="s">
        <v>663</v>
      </c>
      <c r="D145" s="364" t="str">
        <f t="shared" si="34"/>
        <v>EURO</v>
      </c>
      <c r="E145" s="365">
        <f>IF('3. Input Data Cloud'!$D$86="YES",'3. Input Data Cloud'!$L80+'3. Input Data Cloud'!$L81,IF('3. Input Data Cloud'!$D$86="NO",IF(DelkaProjektu&gt;=E$143,('3. Input Data Cloud'!$L80+'3. Input Data Cloud'!$L81)/DelkaProjektu,)))</f>
        <v>0</v>
      </c>
      <c r="F145" s="365">
        <f>IF('3. Input Data Cloud'!$D$86="YES",0,IF('3. Input Data Cloud'!$D$86="NO",IF(DelkaProjektu&gt;=F$143,('3. Input Data Cloud'!$L80+'3. Input Data Cloud'!$L81)/DelkaProjektu,)))</f>
        <v>0</v>
      </c>
      <c r="G145" s="365">
        <f>IF('3. Input Data Cloud'!$D$86="YES",0,IF('3. Input Data Cloud'!$D$86="NO",IF(DelkaProjektu&gt;=G$143,('3. Input Data Cloud'!$L80+'3. Input Data Cloud'!$L81)/DelkaProjektu,)))</f>
        <v>0</v>
      </c>
      <c r="H145" s="365">
        <f>IF('3. Input Data Cloud'!$D$86="YES",0,IF('3. Input Data Cloud'!$D$86="NO",IF(DelkaProjektu&gt;=H$143,('3. Input Data Cloud'!$L80+'3. Input Data Cloud'!$L81)/DelkaProjektu,)))</f>
        <v>0</v>
      </c>
      <c r="I145" s="365">
        <f>IF('3. Input Data Cloud'!$D$86="YES",0,IF('3. Input Data Cloud'!$D$86="NO",IF(DelkaProjektu&gt;=I$143,('3. Input Data Cloud'!$L80+'3. Input Data Cloud'!$L81)/DelkaProjektu,)))</f>
        <v>0</v>
      </c>
      <c r="J145" s="411">
        <f>SUM(E145:I145)</f>
        <v>0</v>
      </c>
      <c r="K145" s="24"/>
      <c r="L145" s="73" t="s">
        <v>165</v>
      </c>
    </row>
    <row r="146" spans="2:12" x14ac:dyDescent="0.3">
      <c r="B146" s="19" t="s">
        <v>114</v>
      </c>
      <c r="C146" s="389" t="s">
        <v>664</v>
      </c>
      <c r="D146" s="364" t="str">
        <f t="shared" si="34"/>
        <v>EURO</v>
      </c>
      <c r="E146" s="365">
        <f>IF('3. Input Data Cloud'!$D$86="YES",'3. Input Data Cloud'!$L82+'3. Input Data Cloud'!$L83,IF('3. Input Data Cloud'!$D$86="NO",IF(DelkaProjektu&gt;=E$143,('3. Input Data Cloud'!$L82+'3. Input Data Cloud'!$L83)/DelkaProjektu,)))</f>
        <v>0</v>
      </c>
      <c r="F146" s="365">
        <f>IF('3. Input Data Cloud'!$D$86="YES",0,IF('3. Input Data Cloud'!$D$86="NO",IF(DelkaProjektu&gt;=F$143,('3. Input Data Cloud'!$L82+'3. Input Data Cloud'!$L83)/DelkaProjektu,)))</f>
        <v>0</v>
      </c>
      <c r="G146" s="365">
        <f>IF('3. Input Data Cloud'!$D$86="YES",0,IF('3. Input Data Cloud'!$D$86="NO",IF(DelkaProjektu&gt;=G$143,('3. Input Data Cloud'!$L82+'3. Input Data Cloud'!$L83)/DelkaProjektu,)))</f>
        <v>0</v>
      </c>
      <c r="H146" s="365">
        <f>IF('3. Input Data Cloud'!$D$86="YES",0,IF('3. Input Data Cloud'!$D$86="NO",IF(DelkaProjektu&gt;=H$143,('3. Input Data Cloud'!$L82+'3. Input Data Cloud'!$L83)/DelkaProjektu,)))</f>
        <v>0</v>
      </c>
      <c r="I146" s="365">
        <f>IF('3. Input Data Cloud'!$D$86="YES",0,IF('3. Input Data Cloud'!$D$86="NO",IF(DelkaProjektu&gt;=I$143,('3. Input Data Cloud'!$L82+'3. Input Data Cloud'!$L83)/DelkaProjektu,)))</f>
        <v>0</v>
      </c>
      <c r="J146" s="412">
        <f>SUM(E146:I146)</f>
        <v>0</v>
      </c>
      <c r="K146" s="24"/>
      <c r="L146" s="73" t="s">
        <v>165</v>
      </c>
    </row>
    <row r="147" spans="2:12" x14ac:dyDescent="0.3">
      <c r="B147" s="47" t="s">
        <v>168</v>
      </c>
      <c r="C147" s="413" t="s">
        <v>579</v>
      </c>
      <c r="D147" s="377" t="str">
        <f t="shared" si="34"/>
        <v>EURO</v>
      </c>
      <c r="E147" s="368">
        <f>E148+E150+E152</f>
        <v>0</v>
      </c>
      <c r="F147" s="368">
        <f t="shared" ref="F147:I147" si="36">F148+F150+F152</f>
        <v>0</v>
      </c>
      <c r="G147" s="368">
        <f t="shared" si="36"/>
        <v>0</v>
      </c>
      <c r="H147" s="368">
        <f t="shared" si="36"/>
        <v>0</v>
      </c>
      <c r="I147" s="368">
        <f t="shared" si="36"/>
        <v>0</v>
      </c>
      <c r="J147" s="368">
        <f>SUM(E147:I147)</f>
        <v>0</v>
      </c>
      <c r="K147" s="24"/>
      <c r="L147" s="73" t="s">
        <v>165</v>
      </c>
    </row>
    <row r="148" spans="2:12" x14ac:dyDescent="0.3">
      <c r="B148" s="19" t="s">
        <v>171</v>
      </c>
      <c r="C148" s="379" t="s">
        <v>665</v>
      </c>
      <c r="D148" s="371" t="str">
        <f t="shared" si="34"/>
        <v>EURO</v>
      </c>
      <c r="E148" s="365">
        <f>SUM(E149)</f>
        <v>0</v>
      </c>
      <c r="F148" s="365">
        <f t="shared" ref="F148:I148" si="37">SUM(F149)</f>
        <v>0</v>
      </c>
      <c r="G148" s="365">
        <f t="shared" si="37"/>
        <v>0</v>
      </c>
      <c r="H148" s="365">
        <f t="shared" si="37"/>
        <v>0</v>
      </c>
      <c r="I148" s="365">
        <f t="shared" si="37"/>
        <v>0</v>
      </c>
      <c r="J148" s="366">
        <f t="shared" ref="J148:J150" si="38">SUM(E148:I148)</f>
        <v>0</v>
      </c>
      <c r="K148" s="24"/>
      <c r="L148" s="73" t="s">
        <v>165</v>
      </c>
    </row>
    <row r="149" spans="2:12" outlineLevel="1" x14ac:dyDescent="0.3">
      <c r="B149" s="40" t="s">
        <v>76</v>
      </c>
      <c r="C149" s="414" t="s">
        <v>827</v>
      </c>
      <c r="D149" s="290" t="str">
        <f t="shared" si="34"/>
        <v>EURO</v>
      </c>
      <c r="E149" s="369">
        <f>IF('3. Input Data Cloud'!$D$72="YES",'3. Input Data Cloud'!$L72,IF('3. Input Data Cloud'!$D$72="NO",IF(DelkaProjektu&gt;=E$143,'3. Input Data Cloud'!$L72/DelkaProjektu,0)))</f>
        <v>0</v>
      </c>
      <c r="F149" s="369">
        <f>IF('3. Input Data Cloud'!$D$72="YES",0,IF('3. Input Data Cloud'!$D$72="NO",IF(DelkaProjektu&gt;=F$143,'3. Input Data Cloud'!$L72/DelkaProjektu,0)))</f>
        <v>0</v>
      </c>
      <c r="G149" s="369">
        <f>IF('3. Input Data Cloud'!$D$72="YES",0,IF('3. Input Data Cloud'!$D$72="NO",IF(DelkaProjektu&gt;=G$143,'3. Input Data Cloud'!$L72/DelkaProjektu,0)))</f>
        <v>0</v>
      </c>
      <c r="H149" s="369">
        <f>IF('3. Input Data Cloud'!$D$72="YES",0,IF('3. Input Data Cloud'!$D$72="NO",IF(DelkaProjektu&gt;=H$143,'3. Input Data Cloud'!$L72/DelkaProjektu,0)))</f>
        <v>0</v>
      </c>
      <c r="I149" s="369">
        <f>IF('3. Input Data Cloud'!$D$72="YES",0,IF('3. Input Data Cloud'!$D$72="NO",IF(DelkaProjektu&gt;=I$143,'3. Input Data Cloud'!$L72/DelkaProjektu,0)))</f>
        <v>0</v>
      </c>
      <c r="J149" s="370">
        <f>SUM(E149:I149)</f>
        <v>0</v>
      </c>
      <c r="K149" s="24"/>
      <c r="L149" s="73" t="s">
        <v>165</v>
      </c>
    </row>
    <row r="150" spans="2:12" ht="27.6" x14ac:dyDescent="0.3">
      <c r="B150" s="19" t="s">
        <v>173</v>
      </c>
      <c r="C150" s="379" t="s">
        <v>666</v>
      </c>
      <c r="D150" s="371" t="str">
        <f t="shared" si="34"/>
        <v>EURO</v>
      </c>
      <c r="E150" s="365">
        <f>SUM(E151)</f>
        <v>0</v>
      </c>
      <c r="F150" s="365">
        <f t="shared" ref="F150:I150" si="39">SUM(F151)</f>
        <v>0</v>
      </c>
      <c r="G150" s="365">
        <f t="shared" si="39"/>
        <v>0</v>
      </c>
      <c r="H150" s="365">
        <f t="shared" si="39"/>
        <v>0</v>
      </c>
      <c r="I150" s="365">
        <f t="shared" si="39"/>
        <v>0</v>
      </c>
      <c r="J150" s="366">
        <f t="shared" si="38"/>
        <v>0</v>
      </c>
      <c r="K150" s="24"/>
      <c r="L150" s="73"/>
    </row>
    <row r="151" spans="2:12" outlineLevel="1" x14ac:dyDescent="0.3">
      <c r="B151" s="20" t="s">
        <v>77</v>
      </c>
      <c r="C151" s="414" t="s">
        <v>830</v>
      </c>
      <c r="D151" s="290" t="str">
        <f t="shared" si="34"/>
        <v>EURO</v>
      </c>
      <c r="E151" s="369">
        <f>IF('3. Input Data Cloud'!$D$73="YES",'3. Input Data Cloud'!$L73,IF('3. Input Data Cloud'!$D$73="NO",IF(DelkaProjektu&gt;=E$143,'3. Input Data Cloud'!$L73/DelkaProjektu,0)))</f>
        <v>0</v>
      </c>
      <c r="F151" s="369">
        <f>IF('3. Input Data Cloud'!$D$73="YES",0,IF('3. Input Data Cloud'!$D$73="NO",IF(DelkaProjektu&gt;=F$143,'3. Input Data Cloud'!$L73/DelkaProjektu,0)))</f>
        <v>0</v>
      </c>
      <c r="G151" s="369">
        <f>IF('3. Input Data Cloud'!$D$73="YES",0,IF('3. Input Data Cloud'!$D$73="NO",IF(DelkaProjektu&gt;=G$143,'3. Input Data Cloud'!$L73/DelkaProjektu,0)))</f>
        <v>0</v>
      </c>
      <c r="H151" s="369">
        <f>IF('3. Input Data Cloud'!$D$73="YES",0,IF('3. Input Data Cloud'!$D$73="NO",IF(DelkaProjektu&gt;=H$143,'3. Input Data Cloud'!$L73/DelkaProjektu,0)))</f>
        <v>0</v>
      </c>
      <c r="I151" s="369">
        <f>IF('3. Input Data Cloud'!$D$73="YES",0,IF('3. Input Data Cloud'!$D$73="NO",IF(DelkaProjektu&gt;=I$143,'3. Input Data Cloud'!$L73/DelkaProjektu,0)))</f>
        <v>0</v>
      </c>
      <c r="J151" s="370">
        <f t="shared" ref="J151:J155" si="40">SUM(E151:I151)</f>
        <v>0</v>
      </c>
      <c r="K151" s="24"/>
      <c r="L151" s="73"/>
    </row>
    <row r="152" spans="2:12" x14ac:dyDescent="0.3">
      <c r="B152" s="19" t="s">
        <v>174</v>
      </c>
      <c r="C152" s="379" t="s">
        <v>588</v>
      </c>
      <c r="D152" s="371" t="str">
        <f t="shared" si="34"/>
        <v>EURO</v>
      </c>
      <c r="E152" s="365">
        <f>SUM(E153:E155)</f>
        <v>0</v>
      </c>
      <c r="F152" s="365">
        <f t="shared" ref="F152:I152" si="41">SUM(F153:F155)</f>
        <v>0</v>
      </c>
      <c r="G152" s="365">
        <f t="shared" si="41"/>
        <v>0</v>
      </c>
      <c r="H152" s="365">
        <f t="shared" si="41"/>
        <v>0</v>
      </c>
      <c r="I152" s="365">
        <f t="shared" si="41"/>
        <v>0</v>
      </c>
      <c r="J152" s="366">
        <f t="shared" si="40"/>
        <v>0</v>
      </c>
      <c r="K152" s="24"/>
      <c r="L152" s="73" t="s">
        <v>165</v>
      </c>
    </row>
    <row r="153" spans="2:12" outlineLevel="1" x14ac:dyDescent="0.3">
      <c r="B153" s="20" t="s">
        <v>45</v>
      </c>
      <c r="C153" s="414" t="s">
        <v>667</v>
      </c>
      <c r="D153" s="290" t="str">
        <f t="shared" si="34"/>
        <v>EURO</v>
      </c>
      <c r="E153" s="369">
        <f>IF('3. Input Data Cloud'!$D$53="YES",'3. Input Data Cloud'!$L53+'3. Input Data Cloud'!$L56+'3. Input Data Cloud'!$L59,IF('3. Input Data Cloud'!$D$53="NO",IF(DelkaProjektu&gt;=E$143,('3. Input Data Cloud'!$L53+'3. Input Data Cloud'!$L56+'3. Input Data Cloud'!$L59)/DelkaProjektu,0)))</f>
        <v>0</v>
      </c>
      <c r="F153" s="369">
        <f>IF('3. Input Data Cloud'!$D$53="YES",0,IF('3. Input Data Cloud'!$D$53="NO",IF(DelkaProjektu&gt;=F$143,('3. Input Data Cloud'!$L53+'3. Input Data Cloud'!$L56+'3. Input Data Cloud'!$L59)/DelkaProjektu,0)))</f>
        <v>0</v>
      </c>
      <c r="G153" s="369">
        <f>IF('3. Input Data Cloud'!$D$53="YES",0,IF('3. Input Data Cloud'!$D$53="NO",IF(DelkaProjektu&gt;=G$143,('3. Input Data Cloud'!$L53+'3. Input Data Cloud'!$L56+'3. Input Data Cloud'!$L59)/DelkaProjektu,0)))</f>
        <v>0</v>
      </c>
      <c r="H153" s="369">
        <f>IF('3. Input Data Cloud'!$D$53="YES",0,IF('3. Input Data Cloud'!$D$53="NO",IF(DelkaProjektu&gt;=H$143,('3. Input Data Cloud'!$L53+'3. Input Data Cloud'!$L56+'3. Input Data Cloud'!$L59)/DelkaProjektu,0)))</f>
        <v>0</v>
      </c>
      <c r="I153" s="369">
        <f>IF('3. Input Data Cloud'!$D$53="YES",0,IF('3. Input Data Cloud'!$D$53="NO",IF(DelkaProjektu&gt;=I$143,('3. Input Data Cloud'!$L53+'3. Input Data Cloud'!$L56+'3. Input Data Cloud'!$L59)/DelkaProjektu,0)))</f>
        <v>0</v>
      </c>
      <c r="J153" s="370">
        <f t="shared" si="40"/>
        <v>0</v>
      </c>
      <c r="K153" s="24"/>
      <c r="L153" s="73" t="s">
        <v>165</v>
      </c>
    </row>
    <row r="154" spans="2:12" outlineLevel="1" x14ac:dyDescent="0.3">
      <c r="B154" s="20" t="s">
        <v>47</v>
      </c>
      <c r="C154" s="414" t="s">
        <v>590</v>
      </c>
      <c r="D154" s="290" t="str">
        <f t="shared" si="34"/>
        <v>EURO</v>
      </c>
      <c r="E154" s="369">
        <f>IF('3. Input Data Cloud'!$D$63="YES",'3. Input Data Cloud'!$L63,IF('3. Input Data Cloud'!$D$63="NO",IF(DelkaProjektu&gt;=E$143,'3. Input Data Cloud'!$L63/DelkaProjektu,0)))</f>
        <v>0</v>
      </c>
      <c r="F154" s="369">
        <f>IF('3. Input Data Cloud'!$D$63="YES",0,IF('3. Input Data Cloud'!$D$63="NO",IF(DelkaProjektu&gt;=F$143,'3. Input Data Cloud'!$L63/DelkaProjektu,0)))</f>
        <v>0</v>
      </c>
      <c r="G154" s="369">
        <f>IF('3. Input Data Cloud'!$D$63="YES",0,IF('3. Input Data Cloud'!$D$63="NO",IF(DelkaProjektu&gt;=G$143,'3. Input Data Cloud'!$L63/DelkaProjektu,0)))</f>
        <v>0</v>
      </c>
      <c r="H154" s="369">
        <f>IF('3. Input Data Cloud'!$D$63="YES",0,IF('3. Input Data Cloud'!$D$63="NO",IF(DelkaProjektu&gt;=H$143,'3. Input Data Cloud'!$L63/DelkaProjektu,0)))</f>
        <v>0</v>
      </c>
      <c r="I154" s="369">
        <f>IF('3. Input Data Cloud'!$D$63="YES",0,IF('3. Input Data Cloud'!$D$63="NO",IF(DelkaProjektu&gt;=I$143,'3. Input Data Cloud'!$L63/DelkaProjektu,0)))</f>
        <v>0</v>
      </c>
      <c r="J154" s="370">
        <f t="shared" si="40"/>
        <v>0</v>
      </c>
      <c r="K154" s="24"/>
      <c r="L154" s="73" t="s">
        <v>165</v>
      </c>
    </row>
    <row r="155" spans="2:12" outlineLevel="1" x14ac:dyDescent="0.3">
      <c r="B155" s="20" t="s">
        <v>50</v>
      </c>
      <c r="C155" s="414" t="s">
        <v>327</v>
      </c>
      <c r="D155" s="290" t="str">
        <f t="shared" si="34"/>
        <v>EURO</v>
      </c>
      <c r="E155" s="369">
        <f>IF('3. Input Data Cloud'!$D$65="YES",'3. Input Data Cloud'!$L65,IF('3. Input Data Cloud'!$D$65="NO",IF(DelkaProjektu&gt;=E$143,'3. Input Data Cloud'!$L65/DelkaProjektu,0)))</f>
        <v>0</v>
      </c>
      <c r="F155" s="369">
        <f>IF('3. Input Data Cloud'!$D$65="YES",0,IF('3. Input Data Cloud'!$D$65="NO",IF(DelkaProjektu&gt;=F$143,'3. Input Data Cloud'!$L65/DelkaProjektu,0)))</f>
        <v>0</v>
      </c>
      <c r="G155" s="369">
        <f>IF('3. Input Data Cloud'!$D$65="YES",0,IF('3. Input Data Cloud'!$D$65="NO",IF(DelkaProjektu&gt;=G$143,'3. Input Data Cloud'!$L65/DelkaProjektu,0)))</f>
        <v>0</v>
      </c>
      <c r="H155" s="369">
        <f>IF('3. Input Data Cloud'!$D$65="YES",0,IF('3. Input Data Cloud'!$D$65="NO",IF(DelkaProjektu&gt;=H$143,'3. Input Data Cloud'!$L65/DelkaProjektu,0)))</f>
        <v>0</v>
      </c>
      <c r="I155" s="369">
        <f>IF('3. Input Data Cloud'!$D$65="YES",0,IF('3. Input Data Cloud'!$D$65="NO",IF(DelkaProjektu&gt;=I$143,'3. Input Data Cloud'!$L65/DelkaProjektu,0)))</f>
        <v>0</v>
      </c>
      <c r="J155" s="370">
        <f t="shared" si="40"/>
        <v>0</v>
      </c>
      <c r="K155" s="24"/>
      <c r="L155" s="73" t="s">
        <v>165</v>
      </c>
    </row>
    <row r="156" spans="2:12" x14ac:dyDescent="0.3">
      <c r="B156" s="21" t="s">
        <v>179</v>
      </c>
      <c r="C156" s="376" t="s">
        <v>597</v>
      </c>
      <c r="D156" s="377" t="str">
        <f t="shared" si="34"/>
        <v>EURO</v>
      </c>
      <c r="E156" s="378">
        <f>SUM(E157:E169)</f>
        <v>0</v>
      </c>
      <c r="F156" s="378">
        <f t="shared" ref="F156:I156" si="42">SUM(F157:F169)</f>
        <v>0</v>
      </c>
      <c r="G156" s="378">
        <f t="shared" si="42"/>
        <v>0</v>
      </c>
      <c r="H156" s="378">
        <f t="shared" si="42"/>
        <v>0</v>
      </c>
      <c r="I156" s="378">
        <f t="shared" si="42"/>
        <v>0</v>
      </c>
      <c r="J156" s="378">
        <f>SUM(E156:I156)</f>
        <v>0</v>
      </c>
      <c r="K156" s="25"/>
      <c r="L156" s="73" t="s">
        <v>165</v>
      </c>
    </row>
    <row r="157" spans="2:12" x14ac:dyDescent="0.3">
      <c r="B157" s="19" t="s">
        <v>116</v>
      </c>
      <c r="C157" s="379" t="s">
        <v>598</v>
      </c>
      <c r="D157" s="371" t="str">
        <f t="shared" si="34"/>
        <v>EURO</v>
      </c>
      <c r="E157" s="365">
        <f>IF('3. Input Data Cloud'!$D$121="YES",'3. Input Data Cloud'!$L89+'3. Input Data Cloud'!$L90,IF('3. Input Data Cloud'!$D$121="NO",IF(DelkaProjektu&gt;=E$143,('3. Input Data Cloud'!$L89+'3. Input Data Cloud'!$L90)/DelkaProjektu,)))</f>
        <v>0</v>
      </c>
      <c r="F157" s="365">
        <f>IF('3. Input Data Cloud'!$D$121="YES",0,IF('3. Input Data Cloud'!$D$121="NO",IF(DelkaProjektu&gt;=F$143,('3. Input Data Cloud'!$L89+'3. Input Data Cloud'!$L90)/DelkaProjektu,)))</f>
        <v>0</v>
      </c>
      <c r="G157" s="365">
        <f>IF('3. Input Data Cloud'!$D$121="YES",0,IF('3. Input Data Cloud'!$D$121="NO",IF(DelkaProjektu&gt;=G$143,('3. Input Data Cloud'!$L89+'3. Input Data Cloud'!$L90)/DelkaProjektu,)))</f>
        <v>0</v>
      </c>
      <c r="H157" s="365">
        <f>IF('3. Input Data Cloud'!$D$121="YES",0,IF('3. Input Data Cloud'!$D$121="NO",IF(DelkaProjektu&gt;=H$143,('3. Input Data Cloud'!$L89+'3. Input Data Cloud'!$L90)/DelkaProjektu,)))</f>
        <v>0</v>
      </c>
      <c r="I157" s="365">
        <f>IF('3. Input Data Cloud'!$D$121="YES",0,IF('3. Input Data Cloud'!$D$121="NO",IF(DelkaProjektu&gt;=I$143,('3. Input Data Cloud'!$L89+'3. Input Data Cloud'!$L90)/DelkaProjektu,)))</f>
        <v>0</v>
      </c>
      <c r="J157" s="411">
        <f>SUM(E157:I157)</f>
        <v>0</v>
      </c>
      <c r="K157" s="24"/>
      <c r="L157" s="73" t="s">
        <v>165</v>
      </c>
    </row>
    <row r="158" spans="2:12" x14ac:dyDescent="0.3">
      <c r="B158" s="19" t="s">
        <v>118</v>
      </c>
      <c r="C158" s="379" t="s">
        <v>599</v>
      </c>
      <c r="D158" s="371" t="str">
        <f t="shared" si="34"/>
        <v>EURO</v>
      </c>
      <c r="E158" s="365">
        <f>IF('3. Input Data Cloud'!$D$121="YES",'3. Input Data Cloud'!$L91+'3. Input Data Cloud'!$L92,IF('3. Input Data Cloud'!$D$121="NO",IF(DelkaProjektu&gt;=E$143,('3. Input Data Cloud'!$L91+'3. Input Data Cloud'!$L92)/DelkaProjektu,)))</f>
        <v>0</v>
      </c>
      <c r="F158" s="365">
        <f>IF('3. Input Data Cloud'!$D$121="YES",0,IF('3. Input Data Cloud'!$D$121="NO",IF(DelkaProjektu&gt;=F$143,('3. Input Data Cloud'!$L91+'3. Input Data Cloud'!$L92)/DelkaProjektu,)))</f>
        <v>0</v>
      </c>
      <c r="G158" s="365">
        <f>IF('3. Input Data Cloud'!$D$121="YES",0,IF('3. Input Data Cloud'!$D$121="NO",IF(DelkaProjektu&gt;=G$143,('3. Input Data Cloud'!$L91+'3. Input Data Cloud'!$L92)/DelkaProjektu,)))</f>
        <v>0</v>
      </c>
      <c r="H158" s="365">
        <f>IF('3. Input Data Cloud'!$D$121="YES",0,IF('3. Input Data Cloud'!$D$121="NO",IF(DelkaProjektu&gt;=H$143,('3. Input Data Cloud'!$L91+'3. Input Data Cloud'!$L92)/DelkaProjektu,)))</f>
        <v>0</v>
      </c>
      <c r="I158" s="365">
        <f>IF('3. Input Data Cloud'!$D$121="YES",0,IF('3. Input Data Cloud'!$D$121="NO",IF(DelkaProjektu&gt;=I$143,('3. Input Data Cloud'!$L91+'3. Input Data Cloud'!$L92)/DelkaProjektu,)))</f>
        <v>0</v>
      </c>
      <c r="J158" s="411">
        <f t="shared" ref="J158:J169" si="43">SUM(E158:I158)</f>
        <v>0</v>
      </c>
      <c r="K158" s="24"/>
      <c r="L158" s="73" t="s">
        <v>165</v>
      </c>
    </row>
    <row r="159" spans="2:12" x14ac:dyDescent="0.3">
      <c r="B159" s="19" t="s">
        <v>117</v>
      </c>
      <c r="C159" s="379" t="s">
        <v>668</v>
      </c>
      <c r="D159" s="371" t="str">
        <f t="shared" si="34"/>
        <v>EURO</v>
      </c>
      <c r="E159" s="365">
        <f>IF('3. Input Data Cloud'!$D$121="YES",'3. Input Data Cloud'!$L93+'3. Input Data Cloud'!$L94+'3. Input Data Cloud'!$L95+'3. Input Data Cloud'!$L96,IF('3. Input Data Cloud'!$D$121="NO",IF(DelkaProjektu&gt;=E$143,('3. Input Data Cloud'!$L93+'3. Input Data Cloud'!$L95+'3. Input Data Cloud'!$L94+'3. Input Data Cloud'!$L96)/DelkaProjektu,)))</f>
        <v>0</v>
      </c>
      <c r="F159" s="365">
        <f>IF('3. Input Data Cloud'!$D$121="YES",0,IF('3. Input Data Cloud'!$D$121="NO",IF(DelkaProjektu&gt;=F$143,('3. Input Data Cloud'!$L93+'3. Input Data Cloud'!$L95+'3. Input Data Cloud'!$L94+'3. Input Data Cloud'!$L96)/DelkaProjektu,)))</f>
        <v>0</v>
      </c>
      <c r="G159" s="365">
        <f>IF('3. Input Data Cloud'!$D$121="YES",0,IF('3. Input Data Cloud'!$D$121="NO",IF(DelkaProjektu&gt;=G$143,('3. Input Data Cloud'!$L93+'3. Input Data Cloud'!$L95+'3. Input Data Cloud'!$L94+'3. Input Data Cloud'!$L96)/DelkaProjektu,)))</f>
        <v>0</v>
      </c>
      <c r="H159" s="365">
        <f>IF('3. Input Data Cloud'!$D$121="YES",0,IF('3. Input Data Cloud'!$D$121="NO",IF(DelkaProjektu&gt;=H$143,('3. Input Data Cloud'!$L93+'3. Input Data Cloud'!$L95+'3. Input Data Cloud'!$L94+'3. Input Data Cloud'!$L96)/DelkaProjektu,)))</f>
        <v>0</v>
      </c>
      <c r="I159" s="365">
        <f>IF('3. Input Data Cloud'!$D$121="YES",0,IF('3. Input Data Cloud'!$D$121="NO",IF(DelkaProjektu&gt;=I$143,('3. Input Data Cloud'!$L93+'3. Input Data Cloud'!$L95+'3. Input Data Cloud'!$L94+'3. Input Data Cloud'!$L96)/DelkaProjektu,)))</f>
        <v>0</v>
      </c>
      <c r="J159" s="411">
        <f t="shared" si="43"/>
        <v>0</v>
      </c>
      <c r="K159" s="24"/>
      <c r="L159" s="73" t="s">
        <v>165</v>
      </c>
    </row>
    <row r="160" spans="2:12" ht="27.6" x14ac:dyDescent="0.3">
      <c r="B160" s="19" t="s">
        <v>180</v>
      </c>
      <c r="C160" s="379" t="s">
        <v>669</v>
      </c>
      <c r="D160" s="371" t="str">
        <f t="shared" si="34"/>
        <v>EURO</v>
      </c>
      <c r="E160" s="365">
        <f>IF('3. Input Data Cloud'!$D$121="YES",'3. Input Data Cloud'!$L97+'3. Input Data Cloud'!$L99+'3. Input Data Cloud'!$L98+'3. Input Data Cloud'!$L100,IF('3. Input Data Cloud'!$D$121="NO",IF(DelkaProjektu&gt;=E$143,('3. Input Data Cloud'!$L97+'3. Input Data Cloud'!$L99+'3. Input Data Cloud'!$L98+'3. Input Data Cloud'!$L100)/DelkaProjektu,)))</f>
        <v>0</v>
      </c>
      <c r="F160" s="365">
        <f>IF('3. Input Data Cloud'!$D$121="YES",0,IF('3. Input Data Cloud'!$D$121="NO",IF(DelkaProjektu&gt;=F$143,('3. Input Data Cloud'!$L97+'3. Input Data Cloud'!$L99+'3. Input Data Cloud'!$L98+'3. Input Data Cloud'!$L100)/DelkaProjektu,)))</f>
        <v>0</v>
      </c>
      <c r="G160" s="365">
        <f>IF('3. Input Data Cloud'!$D$121="YES",0,IF('3. Input Data Cloud'!$D$121="NO",IF(DelkaProjektu&gt;=G$143,('3. Input Data Cloud'!$L97+'3. Input Data Cloud'!$L99+'3. Input Data Cloud'!$L98+'3. Input Data Cloud'!$L100)/DelkaProjektu,)))</f>
        <v>0</v>
      </c>
      <c r="H160" s="365">
        <f>IF('3. Input Data Cloud'!$D$121="YES",0,IF('3. Input Data Cloud'!$D$121="NO",IF(DelkaProjektu&gt;=H$143,('3. Input Data Cloud'!$L97+'3. Input Data Cloud'!$L99+'3. Input Data Cloud'!$L98+'3. Input Data Cloud'!$L100)/DelkaProjektu,)))</f>
        <v>0</v>
      </c>
      <c r="I160" s="365">
        <f>IF('3. Input Data Cloud'!$D$121="YES",0,IF('3. Input Data Cloud'!$D$121="NO",IF(DelkaProjektu&gt;=I$143,('3. Input Data Cloud'!$L97+'3. Input Data Cloud'!$L99+'3. Input Data Cloud'!$L98+'3. Input Data Cloud'!$L100)/DelkaProjektu,)))</f>
        <v>0</v>
      </c>
      <c r="J160" s="411">
        <f t="shared" si="43"/>
        <v>0</v>
      </c>
      <c r="K160" s="24"/>
      <c r="L160" s="73" t="s">
        <v>165</v>
      </c>
    </row>
    <row r="161" spans="2:12" x14ac:dyDescent="0.3">
      <c r="B161" s="19" t="s">
        <v>120</v>
      </c>
      <c r="C161" s="379" t="s">
        <v>444</v>
      </c>
      <c r="D161" s="371" t="str">
        <f t="shared" si="34"/>
        <v>EURO</v>
      </c>
      <c r="E161" s="365">
        <f>IF('3. Input Data Cloud'!$D$121="YES",'3. Input Data Cloud'!$L101+'3. Input Data Cloud'!$L102,IF('3. Input Data Cloud'!$D$121="NO",IF(DelkaProjektu&gt;=E$143,('3. Input Data Cloud'!$L101+'3. Input Data Cloud'!$L102)/DelkaProjektu,)))</f>
        <v>0</v>
      </c>
      <c r="F161" s="365">
        <f>IF('3. Input Data Cloud'!$D$121="YES",0,IF('3. Input Data Cloud'!$D$121="NO",IF(DelkaProjektu&gt;=F$143,('3. Input Data Cloud'!$L101+'3. Input Data Cloud'!$L102)/DelkaProjektu,)))</f>
        <v>0</v>
      </c>
      <c r="G161" s="365">
        <f>IF('3. Input Data Cloud'!$D$121="YES",0,IF('3. Input Data Cloud'!$D$121="NO",IF(DelkaProjektu&gt;=G$143,('3. Input Data Cloud'!$L101+'3. Input Data Cloud'!$L102)/DelkaProjektu,)))</f>
        <v>0</v>
      </c>
      <c r="H161" s="365">
        <f>IF('3. Input Data Cloud'!$D$121="YES",0,IF('3. Input Data Cloud'!$D$121="NO",IF(DelkaProjektu&gt;=H$143,('3. Input Data Cloud'!$L101+'3. Input Data Cloud'!$L102)/DelkaProjektu,)))</f>
        <v>0</v>
      </c>
      <c r="I161" s="365">
        <f>IF('3. Input Data Cloud'!$D$121="YES",0,IF('3. Input Data Cloud'!$D$121="NO",IF(DelkaProjektu&gt;=I$143,('3. Input Data Cloud'!$L101+'3. Input Data Cloud'!$L102)/DelkaProjektu,)))</f>
        <v>0</v>
      </c>
      <c r="J161" s="411">
        <f t="shared" si="43"/>
        <v>0</v>
      </c>
      <c r="K161" s="24"/>
      <c r="L161" s="73" t="s">
        <v>155</v>
      </c>
    </row>
    <row r="162" spans="2:12" x14ac:dyDescent="0.3">
      <c r="B162" s="19" t="s">
        <v>121</v>
      </c>
      <c r="C162" s="379" t="s">
        <v>602</v>
      </c>
      <c r="D162" s="371" t="str">
        <f t="shared" si="34"/>
        <v>EURO</v>
      </c>
      <c r="E162" s="365">
        <f>IF('3. Input Data Cloud'!$D$121="YES",'3. Input Data Cloud'!$L103+'3. Input Data Cloud'!$L104,IF('3. Input Data Cloud'!$D$121="NO",IF(DelkaProjektu&gt;=E$143,('3. Input Data Cloud'!$L103+'3. Input Data Cloud'!$L104)/DelkaProjektu,)))</f>
        <v>0</v>
      </c>
      <c r="F162" s="365">
        <f>IF('3. Input Data Cloud'!$D$121="YES",0,IF('3. Input Data Cloud'!$D$121="NO",IF(DelkaProjektu&gt;=F$143,('3. Input Data Cloud'!$L103+'3. Input Data Cloud'!$L104)/DelkaProjektu,)))</f>
        <v>0</v>
      </c>
      <c r="G162" s="365">
        <f>IF('3. Input Data Cloud'!$D$121="YES",0,IF('3. Input Data Cloud'!$D$121="NO",IF(DelkaProjektu&gt;=G$143,('3. Input Data Cloud'!$L103+'3. Input Data Cloud'!$L104)/DelkaProjektu,)))</f>
        <v>0</v>
      </c>
      <c r="H162" s="365">
        <f>IF('3. Input Data Cloud'!$D$121="YES",0,IF('3. Input Data Cloud'!$D$121="NO",IF(DelkaProjektu&gt;=H$143,('3. Input Data Cloud'!$L103+'3. Input Data Cloud'!$L104)/DelkaProjektu,)))</f>
        <v>0</v>
      </c>
      <c r="I162" s="365">
        <f>IF('3. Input Data Cloud'!$D$121="YES",0,IF('3. Input Data Cloud'!$D$121="NO",IF(DelkaProjektu&gt;=I$143,('3. Input Data Cloud'!$L103+'3. Input Data Cloud'!$L104)/DelkaProjektu,)))</f>
        <v>0</v>
      </c>
      <c r="J162" s="411">
        <f t="shared" si="43"/>
        <v>0</v>
      </c>
      <c r="K162" s="24"/>
      <c r="L162" s="73" t="s">
        <v>165</v>
      </c>
    </row>
    <row r="163" spans="2:12" x14ac:dyDescent="0.3">
      <c r="B163" s="19" t="s">
        <v>122</v>
      </c>
      <c r="C163" s="379" t="s">
        <v>603</v>
      </c>
      <c r="D163" s="371" t="str">
        <f t="shared" si="34"/>
        <v>EURO</v>
      </c>
      <c r="E163" s="365">
        <f>IF('3. Input Data Cloud'!$D$121="YES",'3. Input Data Cloud'!$L105+'3. Input Data Cloud'!$L106,IF('3. Input Data Cloud'!$D$121="NO",IF(DelkaProjektu&gt;=E$143,('3. Input Data Cloud'!$L105+'3. Input Data Cloud'!$L106)/DelkaProjektu,)))</f>
        <v>0</v>
      </c>
      <c r="F163" s="365">
        <f>IF('3. Input Data Cloud'!$D$121="YES",0,IF('3. Input Data Cloud'!$D$121="NO",IF(DelkaProjektu&gt;=F$143,('3. Input Data Cloud'!$L105+'3. Input Data Cloud'!$L106)/DelkaProjektu,)))</f>
        <v>0</v>
      </c>
      <c r="G163" s="365">
        <f>IF('3. Input Data Cloud'!$D$121="YES",0,IF('3. Input Data Cloud'!$D$121="NO",IF(DelkaProjektu&gt;=G$143,('3. Input Data Cloud'!$L105+'3. Input Data Cloud'!$L106)/DelkaProjektu,)))</f>
        <v>0</v>
      </c>
      <c r="H163" s="365">
        <f>IF('3. Input Data Cloud'!$D$121="YES",0,IF('3. Input Data Cloud'!$D$121="NO",IF(DelkaProjektu&gt;=H$143,('3. Input Data Cloud'!$L105+'3. Input Data Cloud'!$L106)/DelkaProjektu,)))</f>
        <v>0</v>
      </c>
      <c r="I163" s="365">
        <f>IF('3. Input Data Cloud'!$D$121="YES",0,IF('3. Input Data Cloud'!$D$121="NO",IF(DelkaProjektu&gt;=I$143,('3. Input Data Cloud'!$L105+'3. Input Data Cloud'!$L106)/DelkaProjektu,)))</f>
        <v>0</v>
      </c>
      <c r="J163" s="411">
        <f t="shared" si="43"/>
        <v>0</v>
      </c>
      <c r="K163" s="24"/>
      <c r="L163" s="73" t="s">
        <v>165</v>
      </c>
    </row>
    <row r="164" spans="2:12" x14ac:dyDescent="0.3">
      <c r="B164" s="19" t="s">
        <v>123</v>
      </c>
      <c r="C164" s="379" t="s">
        <v>447</v>
      </c>
      <c r="D164" s="371" t="str">
        <f t="shared" si="34"/>
        <v>EURO</v>
      </c>
      <c r="E164" s="365">
        <f>IF('3. Input Data Cloud'!$D$121="YES",'3. Input Data Cloud'!$L107+'3. Input Data Cloud'!$L108,IF('3. Input Data Cloud'!$D$121="NO",IF(DelkaProjektu&gt;=E$143,('3. Input Data Cloud'!$L107+'3. Input Data Cloud'!$L108)/DelkaProjektu,)))</f>
        <v>0</v>
      </c>
      <c r="F164" s="365">
        <f>IF('3. Input Data Cloud'!$D$121="YES",0,IF('3. Input Data Cloud'!$D$121="NO",IF(DelkaProjektu&gt;=F$143,('3. Input Data Cloud'!$L107+'3. Input Data Cloud'!$L108)/DelkaProjektu,)))</f>
        <v>0</v>
      </c>
      <c r="G164" s="365">
        <f>IF('3. Input Data Cloud'!$D$121="YES",0,IF('3. Input Data Cloud'!$D$121="NO",IF(DelkaProjektu&gt;=G$143,('3. Input Data Cloud'!$L107+'3. Input Data Cloud'!$L108)/DelkaProjektu,)))</f>
        <v>0</v>
      </c>
      <c r="H164" s="365">
        <f>IF('3. Input Data Cloud'!$D$121="YES",0,IF('3. Input Data Cloud'!$D$121="NO",IF(DelkaProjektu&gt;=H$143,('3. Input Data Cloud'!$L107+'3. Input Data Cloud'!$L108)/DelkaProjektu,)))</f>
        <v>0</v>
      </c>
      <c r="I164" s="365">
        <f>IF('3. Input Data Cloud'!$D$121="YES",0,IF('3. Input Data Cloud'!$D$121="NO",IF(DelkaProjektu&gt;=I$143,('3. Input Data Cloud'!$L107+'3. Input Data Cloud'!$L108)/DelkaProjektu,)))</f>
        <v>0</v>
      </c>
      <c r="J164" s="411">
        <f t="shared" si="43"/>
        <v>0</v>
      </c>
      <c r="K164" s="24"/>
      <c r="L164" s="73" t="s">
        <v>165</v>
      </c>
    </row>
    <row r="165" spans="2:12" x14ac:dyDescent="0.3">
      <c r="B165" s="19" t="s">
        <v>124</v>
      </c>
      <c r="C165" s="379" t="s">
        <v>448</v>
      </c>
      <c r="D165" s="371" t="str">
        <f t="shared" si="34"/>
        <v>EURO</v>
      </c>
      <c r="E165" s="365">
        <f>IF('3. Input Data Cloud'!$D$121="YES",'3. Input Data Cloud'!$L109+'3. Input Data Cloud'!$L110,IF('3. Input Data Cloud'!$D$121="NO",IF(DelkaProjektu&gt;=E$143,('3. Input Data Cloud'!$L109+'3. Input Data Cloud'!$L110)/DelkaProjektu,)))</f>
        <v>0</v>
      </c>
      <c r="F165" s="365">
        <f>IF('3. Input Data Cloud'!$D$121="YES",0,IF('3. Input Data Cloud'!$D$121="NO",IF(DelkaProjektu&gt;=F$143,('3. Input Data Cloud'!$L109+'3. Input Data Cloud'!$L110)/DelkaProjektu,)))</f>
        <v>0</v>
      </c>
      <c r="G165" s="365">
        <f>IF('3. Input Data Cloud'!$D$121="YES",0,IF('3. Input Data Cloud'!$D$121="NO",IF(DelkaProjektu&gt;=G$143,('3. Input Data Cloud'!$L109+'3. Input Data Cloud'!$L110)/DelkaProjektu,)))</f>
        <v>0</v>
      </c>
      <c r="H165" s="365">
        <f>IF('3. Input Data Cloud'!$D$121="YES",0,IF('3. Input Data Cloud'!$D$121="NO",IF(DelkaProjektu&gt;=H$143,('3. Input Data Cloud'!$L109+'3. Input Data Cloud'!$L110)/DelkaProjektu,)))</f>
        <v>0</v>
      </c>
      <c r="I165" s="365">
        <f>IF('3. Input Data Cloud'!$D$121="YES",0,IF('3. Input Data Cloud'!$D$121="NO",IF(DelkaProjektu&gt;=I$143,('3. Input Data Cloud'!$L109+'3. Input Data Cloud'!$L110)/DelkaProjektu,)))</f>
        <v>0</v>
      </c>
      <c r="J165" s="411">
        <f t="shared" si="43"/>
        <v>0</v>
      </c>
      <c r="K165" s="24"/>
      <c r="L165" s="73" t="s">
        <v>165</v>
      </c>
    </row>
    <row r="166" spans="2:12" x14ac:dyDescent="0.3">
      <c r="B166" s="19" t="s">
        <v>125</v>
      </c>
      <c r="C166" s="379" t="s">
        <v>449</v>
      </c>
      <c r="D166" s="371" t="str">
        <f t="shared" si="34"/>
        <v>EURO</v>
      </c>
      <c r="E166" s="365">
        <f>IF('3. Input Data Cloud'!$D$121="YES",'3. Input Data Cloud'!$L111+'3. Input Data Cloud'!$L112,IF('3. Input Data Cloud'!$D$121="NO",IF(DelkaProjektu&gt;=E$143,('3. Input Data Cloud'!$L111+'3. Input Data Cloud'!$L112)/DelkaProjektu,)))</f>
        <v>0</v>
      </c>
      <c r="F166" s="365">
        <f>IF('3. Input Data Cloud'!$D$121="YES",0,IF('3. Input Data Cloud'!$D$121="NO",IF(DelkaProjektu&gt;=F$143,('3. Input Data Cloud'!$L111+'3. Input Data Cloud'!$L112)/DelkaProjektu,)))</f>
        <v>0</v>
      </c>
      <c r="G166" s="365">
        <f>IF('3. Input Data Cloud'!$D$121="YES",0,IF('3. Input Data Cloud'!$D$121="NO",IF(DelkaProjektu&gt;=G$143,('3. Input Data Cloud'!$L111+'3. Input Data Cloud'!$L112)/DelkaProjektu,)))</f>
        <v>0</v>
      </c>
      <c r="H166" s="365">
        <f>IF('3. Input Data Cloud'!$D$121="YES",0,IF('3. Input Data Cloud'!$D$121="NO",IF(DelkaProjektu&gt;=H$143,('3. Input Data Cloud'!$L111+'3. Input Data Cloud'!$L112)/DelkaProjektu,)))</f>
        <v>0</v>
      </c>
      <c r="I166" s="365">
        <f>IF('3. Input Data Cloud'!$D$121="YES",0,IF('3. Input Data Cloud'!$D$121="NO",IF(DelkaProjektu&gt;=I$143,('3. Input Data Cloud'!$L111+'3. Input Data Cloud'!$L112)/DelkaProjektu,)))</f>
        <v>0</v>
      </c>
      <c r="J166" s="411">
        <f t="shared" si="43"/>
        <v>0</v>
      </c>
      <c r="K166" s="24"/>
      <c r="L166" s="73" t="s">
        <v>165</v>
      </c>
    </row>
    <row r="167" spans="2:12" x14ac:dyDescent="0.3">
      <c r="B167" s="19" t="s">
        <v>126</v>
      </c>
      <c r="C167" s="379" t="s">
        <v>450</v>
      </c>
      <c r="D167" s="371" t="str">
        <f t="shared" si="34"/>
        <v>EURO</v>
      </c>
      <c r="E167" s="365">
        <f>IF('3. Input Data Cloud'!$D$121="YES",'3. Input Data Cloud'!$L113+'3. Input Data Cloud'!$L114,IF('3. Input Data Cloud'!$D$121="NO",IF(DelkaProjektu&gt;=E$143,('3. Input Data Cloud'!$L113+'3. Input Data Cloud'!$L114)/DelkaProjektu,)))</f>
        <v>0</v>
      </c>
      <c r="F167" s="365">
        <f>IF('3. Input Data Cloud'!$D$121="YES",0,IF('3. Input Data Cloud'!$D$121="NO",IF(DelkaProjektu&gt;=F$143,('3. Input Data Cloud'!$L113+'3. Input Data Cloud'!$L114)/DelkaProjektu,)))</f>
        <v>0</v>
      </c>
      <c r="G167" s="365">
        <f>IF('3. Input Data Cloud'!$D$121="YES",0,IF('3. Input Data Cloud'!$D$121="NO",IF(DelkaProjektu&gt;=G$143,('3. Input Data Cloud'!$L113+'3. Input Data Cloud'!$L114)/DelkaProjektu,)))</f>
        <v>0</v>
      </c>
      <c r="H167" s="365">
        <f>IF('3. Input Data Cloud'!$D$121="YES",0,IF('3. Input Data Cloud'!$D$121="NO",IF(DelkaProjektu&gt;=H$143,('3. Input Data Cloud'!$L113+'3. Input Data Cloud'!$L114)/DelkaProjektu,)))</f>
        <v>0</v>
      </c>
      <c r="I167" s="365">
        <f>IF('3. Input Data Cloud'!$D$121="YES",0,IF('3. Input Data Cloud'!$D$121="NO",IF(DelkaProjektu&gt;=I$143,('3. Input Data Cloud'!$L113+'3. Input Data Cloud'!$L114)/DelkaProjektu,)))</f>
        <v>0</v>
      </c>
      <c r="J167" s="411">
        <f t="shared" si="43"/>
        <v>0</v>
      </c>
      <c r="K167" s="24"/>
      <c r="L167" s="73" t="s">
        <v>165</v>
      </c>
    </row>
    <row r="168" spans="2:12" ht="27.6" x14ac:dyDescent="0.3">
      <c r="B168" s="19" t="s">
        <v>127</v>
      </c>
      <c r="C168" s="379" t="s">
        <v>670</v>
      </c>
      <c r="D168" s="371" t="str">
        <f t="shared" si="34"/>
        <v>EURO</v>
      </c>
      <c r="E168" s="365">
        <f>IF('3. Input Data Cloud'!$D$121="YES",'3. Input Data Cloud'!$L115+'3. Input Data Cloud'!$L116,IF('3. Input Data Cloud'!$D$121="NO",IF(DelkaProjektu&gt;=E$143,('3. Input Data Cloud'!$L115+'3. Input Data Cloud'!$L116)/DelkaProjektu,)))</f>
        <v>0</v>
      </c>
      <c r="F168" s="365">
        <f>IF('3. Input Data Cloud'!$D$121="YES",0,IF('3. Input Data Cloud'!$D$121="NO",IF(DelkaProjektu&gt;=F$143,('3. Input Data Cloud'!$L115+'3. Input Data Cloud'!$L116)/DelkaProjektu,)))</f>
        <v>0</v>
      </c>
      <c r="G168" s="365">
        <f>IF('3. Input Data Cloud'!$D$121="YES",0,IF('3. Input Data Cloud'!$D$121="NO",IF(DelkaProjektu&gt;=G$143,('3. Input Data Cloud'!$L115+'3. Input Data Cloud'!$L116)/DelkaProjektu,)))</f>
        <v>0</v>
      </c>
      <c r="H168" s="365">
        <f>IF('3. Input Data Cloud'!$D$121="YES",0,IF('3. Input Data Cloud'!$D$121="NO",IF(DelkaProjektu&gt;=H$143,('3. Input Data Cloud'!$L115+'3. Input Data Cloud'!$L116)/DelkaProjektu,)))</f>
        <v>0</v>
      </c>
      <c r="I168" s="365">
        <f>IF('3. Input Data Cloud'!$D$121="YES",0,IF('3. Input Data Cloud'!$D$121="NO",IF(DelkaProjektu&gt;=I$143,('3. Input Data Cloud'!$L115+'3. Input Data Cloud'!$L116)/DelkaProjektu,)))</f>
        <v>0</v>
      </c>
      <c r="J168" s="411">
        <f t="shared" si="43"/>
        <v>0</v>
      </c>
      <c r="K168" s="24"/>
      <c r="L168" s="73" t="s">
        <v>165</v>
      </c>
    </row>
    <row r="169" spans="2:12" x14ac:dyDescent="0.3">
      <c r="B169" s="19" t="s">
        <v>128</v>
      </c>
      <c r="C169" s="379" t="s">
        <v>604</v>
      </c>
      <c r="D169" s="371" t="str">
        <f t="shared" si="34"/>
        <v>EURO</v>
      </c>
      <c r="E169" s="365">
        <f>IF('3. Input Data Cloud'!$D$121="YES",'3. Input Data Cloud'!$L118+'3. Input Data Cloud'!$L117,IF('3. Input Data Cloud'!$D$121="NO",IF(DelkaProjektu&gt;=E$143,('3. Input Data Cloud'!$L118+'3. Input Data Cloud'!$L117)/DelkaProjektu,)))</f>
        <v>0</v>
      </c>
      <c r="F169" s="365">
        <f>IF('3. Input Data Cloud'!$D$121="YES",0,IF('3. Input Data Cloud'!$D$121="NO",IF(DelkaProjektu&gt;=F$143,('3. Input Data Cloud'!$L118+'3. Input Data Cloud'!$L117)/DelkaProjektu,)))</f>
        <v>0</v>
      </c>
      <c r="G169" s="365">
        <f>IF('3. Input Data Cloud'!$D$121="YES",0,IF('3. Input Data Cloud'!$D$121="NO",IF(DelkaProjektu&gt;=G$143,('3. Input Data Cloud'!$L118+'3. Input Data Cloud'!$L117)/DelkaProjektu,)))</f>
        <v>0</v>
      </c>
      <c r="H169" s="365">
        <f>IF('3. Input Data Cloud'!$D$121="YES",0,IF('3. Input Data Cloud'!$D$121="NO",IF(DelkaProjektu&gt;=H$143,('3. Input Data Cloud'!$L118+'3. Input Data Cloud'!$L117)/DelkaProjektu,)))</f>
        <v>0</v>
      </c>
      <c r="I169" s="365">
        <f>IF('3. Input Data Cloud'!$D$121="YES",0,IF('3. Input Data Cloud'!$D$121="NO",IF(DelkaProjektu&gt;=I$143,('3. Input Data Cloud'!$L118+'3. Input Data Cloud'!$L117)/DelkaProjektu,)))</f>
        <v>0</v>
      </c>
      <c r="J169" s="411">
        <f t="shared" si="43"/>
        <v>0</v>
      </c>
      <c r="K169" s="24"/>
      <c r="L169" s="73" t="s">
        <v>165</v>
      </c>
    </row>
    <row r="170" spans="2:12" x14ac:dyDescent="0.3">
      <c r="B170" s="21" t="s">
        <v>182</v>
      </c>
      <c r="C170" s="376" t="s">
        <v>671</v>
      </c>
      <c r="D170" s="377" t="str">
        <f t="shared" si="34"/>
        <v>EURO</v>
      </c>
      <c r="E170" s="378">
        <f>E171+E178+E187+E188+E185</f>
        <v>0</v>
      </c>
      <c r="F170" s="378">
        <f t="shared" ref="F170:H170" si="44">F171+F178+F187+F188+F185</f>
        <v>0</v>
      </c>
      <c r="G170" s="378">
        <f t="shared" si="44"/>
        <v>0</v>
      </c>
      <c r="H170" s="378">
        <f t="shared" si="44"/>
        <v>0</v>
      </c>
      <c r="I170" s="378">
        <f>I171+I178+I187+I188+I185</f>
        <v>0</v>
      </c>
      <c r="J170" s="378">
        <f>SUM(E170:I170)</f>
        <v>0</v>
      </c>
      <c r="K170" s="24"/>
      <c r="L170" s="73"/>
    </row>
    <row r="171" spans="2:12" x14ac:dyDescent="0.3">
      <c r="B171" s="19" t="s">
        <v>183</v>
      </c>
      <c r="C171" s="415" t="s">
        <v>606</v>
      </c>
      <c r="D171" s="371" t="str">
        <f t="shared" si="34"/>
        <v>EURO</v>
      </c>
      <c r="E171" s="365">
        <f>SUM(E172:E177)</f>
        <v>0</v>
      </c>
      <c r="F171" s="365">
        <f t="shared" ref="F171:I171" si="45">SUM(F172:F177)</f>
        <v>0</v>
      </c>
      <c r="G171" s="365">
        <f t="shared" si="45"/>
        <v>0</v>
      </c>
      <c r="H171" s="365">
        <f t="shared" si="45"/>
        <v>0</v>
      </c>
      <c r="I171" s="365">
        <f t="shared" si="45"/>
        <v>0</v>
      </c>
      <c r="J171" s="366">
        <f>SUM(E171:I171)</f>
        <v>0</v>
      </c>
      <c r="K171" s="24"/>
      <c r="L171" s="73" t="s">
        <v>165</v>
      </c>
    </row>
    <row r="172" spans="2:12" outlineLevel="1" x14ac:dyDescent="0.3">
      <c r="B172" s="20" t="s">
        <v>93</v>
      </c>
      <c r="C172" s="416" t="s">
        <v>672</v>
      </c>
      <c r="D172" s="290" t="str">
        <f t="shared" si="34"/>
        <v>EURO</v>
      </c>
      <c r="E172" s="369">
        <f>IF(DelkaProjektu&gt;=E$143,'3. Input Data Cloud'!$L24,0)</f>
        <v>0</v>
      </c>
      <c r="F172" s="369">
        <f>IF(DelkaProjektu&gt;=F$143,'3. Input Data Cloud'!$L24,0)</f>
        <v>0</v>
      </c>
      <c r="G172" s="369">
        <f>IF(DelkaProjektu&gt;=G$143,'3. Input Data Cloud'!$L24,0)</f>
        <v>0</v>
      </c>
      <c r="H172" s="369">
        <f>IF(DelkaProjektu&gt;=H$143,'3. Input Data Cloud'!$L24,0)</f>
        <v>0</v>
      </c>
      <c r="I172" s="369">
        <f>IF(DelkaProjektu&gt;=I$143,'3. Input Data Cloud'!$L24,0)</f>
        <v>0</v>
      </c>
      <c r="J172" s="370">
        <f>SUM(E172:I172)</f>
        <v>0</v>
      </c>
      <c r="K172" s="24"/>
      <c r="L172" s="73" t="s">
        <v>165</v>
      </c>
    </row>
    <row r="173" spans="2:12" outlineLevel="1" x14ac:dyDescent="0.3">
      <c r="B173" s="20" t="s">
        <v>95</v>
      </c>
      <c r="C173" s="416" t="s">
        <v>608</v>
      </c>
      <c r="D173" s="290" t="str">
        <f t="shared" si="34"/>
        <v>EURO</v>
      </c>
      <c r="E173" s="369">
        <f>IF(DelkaProjektu&gt;=E$143,'3. Input Data Cloud'!$L26+'3. Input Data Cloud'!$L32,0)</f>
        <v>0</v>
      </c>
      <c r="F173" s="369">
        <f>IF(DelkaProjektu&gt;=F$143,'3. Input Data Cloud'!$L26+'3. Input Data Cloud'!$L32,0)</f>
        <v>0</v>
      </c>
      <c r="G173" s="369">
        <f>IF(DelkaProjektu&gt;=G$143,'3. Input Data Cloud'!$L26+'3. Input Data Cloud'!$L32,0)</f>
        <v>0</v>
      </c>
      <c r="H173" s="369">
        <f>IF(DelkaProjektu&gt;=H$143,'3. Input Data Cloud'!$L26+'3. Input Data Cloud'!$L32,0)</f>
        <v>0</v>
      </c>
      <c r="I173" s="369">
        <f>IF(DelkaProjektu&gt;=I$143,'3. Input Data Cloud'!$L26+'3. Input Data Cloud'!$L32,0)</f>
        <v>0</v>
      </c>
      <c r="J173" s="370">
        <f t="shared" ref="J173:J177" si="46">SUM(E173:I173)</f>
        <v>0</v>
      </c>
      <c r="K173" s="24"/>
      <c r="L173" s="73" t="s">
        <v>165</v>
      </c>
    </row>
    <row r="174" spans="2:12" outlineLevel="1" x14ac:dyDescent="0.3">
      <c r="B174" s="20" t="s">
        <v>97</v>
      </c>
      <c r="C174" s="416" t="s">
        <v>609</v>
      </c>
      <c r="D174" s="290" t="str">
        <f t="shared" si="34"/>
        <v>EURO</v>
      </c>
      <c r="E174" s="369">
        <f>IF(DelkaProjektu&gt;=E$143,'3. Input Data Cloud'!$L28,0)</f>
        <v>0</v>
      </c>
      <c r="F174" s="369">
        <f>IF(DelkaProjektu&gt;=F$143,'3. Input Data Cloud'!$L28,0)</f>
        <v>0</v>
      </c>
      <c r="G174" s="369">
        <f>IF(DelkaProjektu&gt;=G$143,'3. Input Data Cloud'!$L28,0)</f>
        <v>0</v>
      </c>
      <c r="H174" s="369">
        <f>IF(DelkaProjektu&gt;=H$143,'3. Input Data Cloud'!$L28,0)</f>
        <v>0</v>
      </c>
      <c r="I174" s="369">
        <f>IF(DelkaProjektu&gt;=I$143,'3. Input Data Cloud'!$L28,0)</f>
        <v>0</v>
      </c>
      <c r="J174" s="370">
        <f t="shared" si="46"/>
        <v>0</v>
      </c>
      <c r="K174" s="24"/>
      <c r="L174" s="73" t="s">
        <v>165</v>
      </c>
    </row>
    <row r="175" spans="2:12" outlineLevel="1" x14ac:dyDescent="0.3">
      <c r="B175" s="20" t="s">
        <v>99</v>
      </c>
      <c r="C175" s="416" t="s">
        <v>610</v>
      </c>
      <c r="D175" s="290" t="str">
        <f t="shared" si="34"/>
        <v>EURO</v>
      </c>
      <c r="E175" s="369">
        <f>IF(DelkaProjektu&gt;=E$143,'3. Input Data Cloud'!$L30,0)</f>
        <v>0</v>
      </c>
      <c r="F175" s="369">
        <f>IF(DelkaProjektu&gt;=F$143,'3. Input Data Cloud'!$L30,0)</f>
        <v>0</v>
      </c>
      <c r="G175" s="369">
        <f>IF(DelkaProjektu&gt;=G$143,'3. Input Data Cloud'!$L30,0)</f>
        <v>0</v>
      </c>
      <c r="H175" s="369">
        <f>IF(DelkaProjektu&gt;=H$143,'3. Input Data Cloud'!$L30,0)</f>
        <v>0</v>
      </c>
      <c r="I175" s="369">
        <f>IF(DelkaProjektu&gt;=I$143,'3. Input Data Cloud'!$L30,0)</f>
        <v>0</v>
      </c>
      <c r="J175" s="370">
        <f t="shared" si="46"/>
        <v>0</v>
      </c>
      <c r="K175" s="24"/>
      <c r="L175" s="73" t="s">
        <v>165</v>
      </c>
    </row>
    <row r="176" spans="2:12" outlineLevel="1" x14ac:dyDescent="0.3">
      <c r="B176" s="20" t="s">
        <v>90</v>
      </c>
      <c r="C176" s="416" t="s">
        <v>673</v>
      </c>
      <c r="D176" s="290" t="str">
        <f t="shared" ref="D176:D209" si="47">JenotkaMěny</f>
        <v>EURO</v>
      </c>
      <c r="E176" s="369">
        <f>IF(DelkaProjektu&gt;=E$143,'3. Input Data Cloud'!$L15+'3. Input Data Cloud'!$L16+'3. Input Data Cloud'!$L17+'3. Input Data Cloud'!$L18,0)</f>
        <v>0</v>
      </c>
      <c r="F176" s="369">
        <f>IF(DelkaProjektu&gt;=F$143,'3. Input Data Cloud'!$L15+'3. Input Data Cloud'!$L16+'3. Input Data Cloud'!$L17+'3. Input Data Cloud'!$L18,0)</f>
        <v>0</v>
      </c>
      <c r="G176" s="369">
        <f>IF(DelkaProjektu&gt;=G$143,'3. Input Data Cloud'!$L15+'3. Input Data Cloud'!$L16+'3. Input Data Cloud'!$L17+'3. Input Data Cloud'!$L18,0)</f>
        <v>0</v>
      </c>
      <c r="H176" s="369">
        <f>IF(DelkaProjektu&gt;=H$143,'3. Input Data Cloud'!$L15+'3. Input Data Cloud'!$L16+'3. Input Data Cloud'!$L17+'3. Input Data Cloud'!$L18,0)</f>
        <v>0</v>
      </c>
      <c r="I176" s="369">
        <f>IF(DelkaProjektu&gt;=I$143,'3. Input Data Cloud'!$L15+'3. Input Data Cloud'!$L16+'3. Input Data Cloud'!$L17+'3. Input Data Cloud'!$L18,0)</f>
        <v>0</v>
      </c>
      <c r="J176" s="370">
        <f t="shared" si="46"/>
        <v>0</v>
      </c>
      <c r="K176" s="24"/>
      <c r="L176" s="73" t="s">
        <v>165</v>
      </c>
    </row>
    <row r="177" spans="2:12" outlineLevel="1" x14ac:dyDescent="0.3">
      <c r="B177" s="20" t="s">
        <v>101</v>
      </c>
      <c r="C177" s="416" t="s">
        <v>674</v>
      </c>
      <c r="D177" s="290" t="str">
        <f t="shared" si="47"/>
        <v>EURO</v>
      </c>
      <c r="E177" s="369">
        <f>IF(DelkaProjektu&gt;=E$143,'3. Input Data Cloud'!$L33+'3. Input Data Cloud'!$L37,0)</f>
        <v>0</v>
      </c>
      <c r="F177" s="369">
        <f>IF(DelkaProjektu&gt;=F$143,'3. Input Data Cloud'!$L33+'3. Input Data Cloud'!$L37,0)</f>
        <v>0</v>
      </c>
      <c r="G177" s="369">
        <f>IF(DelkaProjektu&gt;=G$143,'3. Input Data Cloud'!$L33+'3. Input Data Cloud'!$L37,0)</f>
        <v>0</v>
      </c>
      <c r="H177" s="369">
        <f>IF(DelkaProjektu&gt;=H$143,'3. Input Data Cloud'!$L33+'3. Input Data Cloud'!$L37,0)</f>
        <v>0</v>
      </c>
      <c r="I177" s="369">
        <f>IF(DelkaProjektu&gt;=I$143,'3. Input Data Cloud'!$L33+'3. Input Data Cloud'!$L37,0)</f>
        <v>0</v>
      </c>
      <c r="J177" s="370">
        <f t="shared" si="46"/>
        <v>0</v>
      </c>
      <c r="K177" s="24"/>
      <c r="L177" s="73" t="s">
        <v>165</v>
      </c>
    </row>
    <row r="178" spans="2:12" x14ac:dyDescent="0.3">
      <c r="B178" s="19" t="s">
        <v>184</v>
      </c>
      <c r="C178" s="379" t="s">
        <v>675</v>
      </c>
      <c r="D178" s="371" t="str">
        <f t="shared" si="47"/>
        <v>EURO</v>
      </c>
      <c r="E178" s="365">
        <f>SUM(E179:E184)</f>
        <v>0</v>
      </c>
      <c r="F178" s="365">
        <f t="shared" ref="F178:I178" si="48">SUM(F179:F184)</f>
        <v>0</v>
      </c>
      <c r="G178" s="365">
        <f t="shared" si="48"/>
        <v>0</v>
      </c>
      <c r="H178" s="365">
        <f t="shared" si="48"/>
        <v>0</v>
      </c>
      <c r="I178" s="365">
        <f t="shared" si="48"/>
        <v>0</v>
      </c>
      <c r="J178" s="366">
        <f>SUM(E178:I178)</f>
        <v>0</v>
      </c>
      <c r="K178" s="24"/>
      <c r="L178" s="73" t="s">
        <v>165</v>
      </c>
    </row>
    <row r="179" spans="2:12" outlineLevel="1" x14ac:dyDescent="0.3">
      <c r="B179" s="20" t="s">
        <v>92</v>
      </c>
      <c r="C179" s="416" t="s">
        <v>185</v>
      </c>
      <c r="D179" s="290" t="str">
        <f t="shared" si="47"/>
        <v>EURO</v>
      </c>
      <c r="E179" s="369">
        <f>IF(DelkaProjektu&gt;=E$143,'3. Input Data Cloud'!$L23,0)</f>
        <v>0</v>
      </c>
      <c r="F179" s="369">
        <f>IF(DelkaProjektu&gt;=F$143,'3. Input Data Cloud'!$L23,0)</f>
        <v>0</v>
      </c>
      <c r="G179" s="369">
        <f>IF(DelkaProjektu&gt;=G$143,'3. Input Data Cloud'!$L23,0)</f>
        <v>0</v>
      </c>
      <c r="H179" s="369">
        <f>IF(DelkaProjektu&gt;=H$143,'3. Input Data Cloud'!$L23,0)</f>
        <v>0</v>
      </c>
      <c r="I179" s="369">
        <f>IF(DelkaProjektu&gt;=I$143,'3. Input Data Cloud'!$L23,0)</f>
        <v>0</v>
      </c>
      <c r="J179" s="370">
        <f>SUM(E179:I179)</f>
        <v>0</v>
      </c>
      <c r="K179" s="24"/>
      <c r="L179" s="73" t="s">
        <v>165</v>
      </c>
    </row>
    <row r="180" spans="2:12" outlineLevel="1" x14ac:dyDescent="0.3">
      <c r="B180" s="20" t="s">
        <v>94</v>
      </c>
      <c r="C180" s="416" t="s">
        <v>614</v>
      </c>
      <c r="D180" s="290" t="str">
        <f t="shared" si="47"/>
        <v>EURO</v>
      </c>
      <c r="E180" s="369">
        <f>IF(DelkaProjektu&gt;=E$143,'3. Input Data Cloud'!$L25,0)</f>
        <v>0</v>
      </c>
      <c r="F180" s="369">
        <f>IF(DelkaProjektu&gt;=F$143,'3. Input Data Cloud'!$L25,0)</f>
        <v>0</v>
      </c>
      <c r="G180" s="369">
        <f>IF(DelkaProjektu&gt;=G$143,'3. Input Data Cloud'!$L25,0)</f>
        <v>0</v>
      </c>
      <c r="H180" s="369">
        <f>IF(DelkaProjektu&gt;=H$143,'3. Input Data Cloud'!$L25,0)</f>
        <v>0</v>
      </c>
      <c r="I180" s="369">
        <f>IF(DelkaProjektu&gt;=I$143,'3. Input Data Cloud'!$L25,0)</f>
        <v>0</v>
      </c>
      <c r="J180" s="370">
        <f t="shared" ref="J180:J184" si="49">SUM(E180:I180)</f>
        <v>0</v>
      </c>
      <c r="K180" s="24"/>
      <c r="L180" s="73" t="s">
        <v>165</v>
      </c>
    </row>
    <row r="181" spans="2:12" outlineLevel="1" x14ac:dyDescent="0.3">
      <c r="B181" s="20" t="s">
        <v>96</v>
      </c>
      <c r="C181" s="416" t="s">
        <v>676</v>
      </c>
      <c r="D181" s="290" t="str">
        <f t="shared" si="47"/>
        <v>EURO</v>
      </c>
      <c r="E181" s="369">
        <f>IF(DelkaProjektu&gt;=E$143,'3. Input Data Cloud'!$L27,0)</f>
        <v>0</v>
      </c>
      <c r="F181" s="369">
        <f>IF(DelkaProjektu&gt;=F$143,'3. Input Data Cloud'!$L27,0)</f>
        <v>0</v>
      </c>
      <c r="G181" s="369">
        <f>IF(DelkaProjektu&gt;=G$143,'3. Input Data Cloud'!$L27,0)</f>
        <v>0</v>
      </c>
      <c r="H181" s="369">
        <f>IF(DelkaProjektu&gt;=H$143,'3. Input Data Cloud'!$L27,0)</f>
        <v>0</v>
      </c>
      <c r="I181" s="369">
        <f>IF(DelkaProjektu&gt;=I$143,'3. Input Data Cloud'!$L27,0)</f>
        <v>0</v>
      </c>
      <c r="J181" s="370">
        <f t="shared" si="49"/>
        <v>0</v>
      </c>
      <c r="K181" s="24"/>
      <c r="L181" s="73" t="s">
        <v>165</v>
      </c>
    </row>
    <row r="182" spans="2:12" outlineLevel="1" x14ac:dyDescent="0.3">
      <c r="B182" s="20" t="s">
        <v>98</v>
      </c>
      <c r="C182" s="416" t="s">
        <v>186</v>
      </c>
      <c r="D182" s="290" t="str">
        <f t="shared" si="47"/>
        <v>EURO</v>
      </c>
      <c r="E182" s="369">
        <f>IF(DelkaProjektu&gt;=E$143,'3. Input Data Cloud'!$L29,0)</f>
        <v>0</v>
      </c>
      <c r="F182" s="369">
        <f>IF(DelkaProjektu&gt;=F$143,'3. Input Data Cloud'!$L29,0)</f>
        <v>0</v>
      </c>
      <c r="G182" s="369">
        <f>IF(DelkaProjektu&gt;=G$143,'3. Input Data Cloud'!$L29,0)</f>
        <v>0</v>
      </c>
      <c r="H182" s="369">
        <f>IF(DelkaProjektu&gt;=H$143,'3. Input Data Cloud'!$L29,0)</f>
        <v>0</v>
      </c>
      <c r="I182" s="369">
        <f>IF(DelkaProjektu&gt;=I$143,'3. Input Data Cloud'!$L29,0)</f>
        <v>0</v>
      </c>
      <c r="J182" s="370">
        <f t="shared" si="49"/>
        <v>0</v>
      </c>
      <c r="K182" s="24"/>
      <c r="L182" s="73" t="s">
        <v>165</v>
      </c>
    </row>
    <row r="183" spans="2:12" outlineLevel="1" x14ac:dyDescent="0.3">
      <c r="B183" s="20" t="s">
        <v>100</v>
      </c>
      <c r="C183" s="416" t="s">
        <v>616</v>
      </c>
      <c r="D183" s="290" t="str">
        <f t="shared" si="47"/>
        <v>EURO</v>
      </c>
      <c r="E183" s="369">
        <f>IF(DelkaProjektu&gt;=E$143,'3. Input Data Cloud'!$L31,0)</f>
        <v>0</v>
      </c>
      <c r="F183" s="369">
        <f>IF(DelkaProjektu&gt;=F$143,'3. Input Data Cloud'!$L31,0)</f>
        <v>0</v>
      </c>
      <c r="G183" s="369">
        <f>IF(DelkaProjektu&gt;=G$143,'3. Input Data Cloud'!$L31,0)</f>
        <v>0</v>
      </c>
      <c r="H183" s="369">
        <f>IF(DelkaProjektu&gt;=H$143,'3. Input Data Cloud'!$L31,0)</f>
        <v>0</v>
      </c>
      <c r="I183" s="369">
        <f>IF(DelkaProjektu&gt;=I$143,'3. Input Data Cloud'!$L31,0)</f>
        <v>0</v>
      </c>
      <c r="J183" s="370">
        <f t="shared" si="49"/>
        <v>0</v>
      </c>
      <c r="K183" s="24"/>
      <c r="L183" s="73" t="s">
        <v>165</v>
      </c>
    </row>
    <row r="184" spans="2:12" outlineLevel="1" x14ac:dyDescent="0.3">
      <c r="B184" s="22" t="s">
        <v>102</v>
      </c>
      <c r="C184" s="416" t="s">
        <v>674</v>
      </c>
      <c r="D184" s="290" t="str">
        <f t="shared" si="47"/>
        <v>EURO</v>
      </c>
      <c r="E184" s="369">
        <f>IF(DelkaProjektu&gt;=E$143,'3. Input Data Cloud'!$L34+'3. Input Data Cloud'!$L38,0)</f>
        <v>0</v>
      </c>
      <c r="F184" s="369">
        <f>IF(DelkaProjektu&gt;=F$143,'3. Input Data Cloud'!$L34+'3. Input Data Cloud'!$L38,0)</f>
        <v>0</v>
      </c>
      <c r="G184" s="369">
        <f>IF(DelkaProjektu&gt;=G$143,'3. Input Data Cloud'!$L34+'3. Input Data Cloud'!$L38,0)</f>
        <v>0</v>
      </c>
      <c r="H184" s="369">
        <f>IF(DelkaProjektu&gt;=H$143,'3. Input Data Cloud'!$L34+'3. Input Data Cloud'!$L38,0)</f>
        <v>0</v>
      </c>
      <c r="I184" s="369">
        <f>IF(DelkaProjektu&gt;=I$143,'3. Input Data Cloud'!$L34+'3. Input Data Cloud'!$L38,0)</f>
        <v>0</v>
      </c>
      <c r="J184" s="370">
        <f t="shared" si="49"/>
        <v>0</v>
      </c>
      <c r="K184" s="24"/>
      <c r="L184" s="73" t="s">
        <v>165</v>
      </c>
    </row>
    <row r="185" spans="2:12" x14ac:dyDescent="0.3">
      <c r="B185" s="19" t="s">
        <v>187</v>
      </c>
      <c r="C185" s="415" t="s">
        <v>677</v>
      </c>
      <c r="D185" s="371" t="str">
        <f t="shared" si="47"/>
        <v>EURO</v>
      </c>
      <c r="E185" s="365">
        <f>SUM(E186)</f>
        <v>0</v>
      </c>
      <c r="F185" s="365">
        <f t="shared" ref="F185:I185" si="50">SUM(F186)</f>
        <v>0</v>
      </c>
      <c r="G185" s="365">
        <f t="shared" si="50"/>
        <v>0</v>
      </c>
      <c r="H185" s="365">
        <f t="shared" si="50"/>
        <v>0</v>
      </c>
      <c r="I185" s="365">
        <f t="shared" si="50"/>
        <v>0</v>
      </c>
      <c r="J185" s="366">
        <f t="shared" ref="J185:J190" si="51">SUM(E185:I185)</f>
        <v>0</v>
      </c>
      <c r="K185" s="24"/>
      <c r="L185" s="73" t="s">
        <v>165</v>
      </c>
    </row>
    <row r="186" spans="2:12" outlineLevel="1" x14ac:dyDescent="0.3">
      <c r="B186" s="22" t="s">
        <v>70</v>
      </c>
      <c r="C186" s="416" t="s">
        <v>619</v>
      </c>
      <c r="D186" s="290" t="str">
        <f t="shared" si="47"/>
        <v>EURO</v>
      </c>
      <c r="E186" s="369">
        <f>IF(DelkaProjektu&gt;=E$143,'3. Input Data Cloud'!$L69,0)</f>
        <v>0</v>
      </c>
      <c r="F186" s="369">
        <f>IF(DelkaProjektu&gt;=F$143,'3. Input Data Cloud'!$L69,0)</f>
        <v>0</v>
      </c>
      <c r="G186" s="369">
        <f>IF(DelkaProjektu&gt;=G$143,'3. Input Data Cloud'!$L69,0)</f>
        <v>0</v>
      </c>
      <c r="H186" s="369">
        <f>IF(DelkaProjektu&gt;=H$143,'3. Input Data Cloud'!$L69,0)</f>
        <v>0</v>
      </c>
      <c r="I186" s="369">
        <f>IF(DelkaProjektu&gt;=I$143,'3. Input Data Cloud'!$L69,0)</f>
        <v>0</v>
      </c>
      <c r="J186" s="370">
        <f t="shared" si="51"/>
        <v>0</v>
      </c>
      <c r="K186" s="24"/>
      <c r="L186" s="73" t="s">
        <v>207</v>
      </c>
    </row>
    <row r="187" spans="2:12" x14ac:dyDescent="0.3">
      <c r="B187" s="44" t="s">
        <v>108</v>
      </c>
      <c r="C187" s="417" t="s">
        <v>678</v>
      </c>
      <c r="D187" s="371" t="str">
        <f t="shared" si="47"/>
        <v>EURO</v>
      </c>
      <c r="E187" s="365">
        <f>IF(DelkaProjektu&gt;=E$143,'3. Input Data Cloud'!$L43+'3. Input Data Cloud'!$L44+'3. Input Data Cloud'!$L45,0)</f>
        <v>0</v>
      </c>
      <c r="F187" s="365">
        <f>IF(DelkaProjektu&gt;=F$143,'3. Input Data Cloud'!$L43+'3. Input Data Cloud'!$L44+'3. Input Data Cloud'!$L45,0)</f>
        <v>0</v>
      </c>
      <c r="G187" s="365">
        <f>IF(DelkaProjektu&gt;=G$143,'3. Input Data Cloud'!$L43+'3. Input Data Cloud'!$L44+'3. Input Data Cloud'!$L45,0)</f>
        <v>0</v>
      </c>
      <c r="H187" s="365">
        <f>IF(DelkaProjektu&gt;=H$143,'3. Input Data Cloud'!$L43+'3. Input Data Cloud'!$L44+'3. Input Data Cloud'!$L45,0)</f>
        <v>0</v>
      </c>
      <c r="I187" s="365">
        <f>IF(DelkaProjektu&gt;=I$143,'3. Input Data Cloud'!$L43+'3. Input Data Cloud'!$L44+'3. Input Data Cloud'!$L45,0)</f>
        <v>0</v>
      </c>
      <c r="J187" s="366">
        <f t="shared" si="51"/>
        <v>0</v>
      </c>
      <c r="K187" s="24"/>
      <c r="L187" s="73" t="s">
        <v>165</v>
      </c>
    </row>
    <row r="188" spans="2:12" x14ac:dyDescent="0.3">
      <c r="B188" s="44" t="s">
        <v>189</v>
      </c>
      <c r="C188" s="417" t="s">
        <v>679</v>
      </c>
      <c r="D188" s="371" t="str">
        <f t="shared" si="47"/>
        <v>EURO</v>
      </c>
      <c r="E188" s="365">
        <f>SUM(E189:E190)</f>
        <v>0</v>
      </c>
      <c r="F188" s="365">
        <f t="shared" ref="F188:I188" si="52">SUM(F189:F190)</f>
        <v>0</v>
      </c>
      <c r="G188" s="365">
        <f t="shared" si="52"/>
        <v>0</v>
      </c>
      <c r="H188" s="365">
        <f t="shared" si="52"/>
        <v>0</v>
      </c>
      <c r="I188" s="365">
        <f t="shared" si="52"/>
        <v>0</v>
      </c>
      <c r="J188" s="366">
        <f t="shared" si="51"/>
        <v>0</v>
      </c>
      <c r="K188" s="24"/>
      <c r="L188" s="73" t="s">
        <v>165</v>
      </c>
    </row>
    <row r="189" spans="2:12" outlineLevel="1" x14ac:dyDescent="0.3">
      <c r="B189" s="45" t="s">
        <v>107</v>
      </c>
      <c r="C189" s="418" t="s">
        <v>680</v>
      </c>
      <c r="D189" s="290" t="str">
        <f t="shared" si="47"/>
        <v>EURO</v>
      </c>
      <c r="E189" s="369">
        <f>IF(DelkaProjektu&gt;=E$143,'3. Input Data Cloud'!$L36+'3. Input Data Cloud'!$L46,0)</f>
        <v>0</v>
      </c>
      <c r="F189" s="369">
        <f>IF(DelkaProjektu&gt;=F$143,'3. Input Data Cloud'!$L36+'3. Input Data Cloud'!$L46,0)</f>
        <v>0</v>
      </c>
      <c r="G189" s="369">
        <f>IF(DelkaProjektu&gt;=G$143,'3. Input Data Cloud'!$L36+'3. Input Data Cloud'!$L46,0)</f>
        <v>0</v>
      </c>
      <c r="H189" s="369">
        <f>IF(DelkaProjektu&gt;=H$143,'3. Input Data Cloud'!$L36+'3. Input Data Cloud'!$L46,0)</f>
        <v>0</v>
      </c>
      <c r="I189" s="369">
        <f>IF(DelkaProjektu&gt;=I$143,'3. Input Data Cloud'!$L36+'3. Input Data Cloud'!$L46,0)</f>
        <v>0</v>
      </c>
      <c r="J189" s="370">
        <f t="shared" si="51"/>
        <v>0</v>
      </c>
      <c r="K189" s="24"/>
      <c r="L189" s="73" t="s">
        <v>165</v>
      </c>
    </row>
    <row r="190" spans="2:12" outlineLevel="1" x14ac:dyDescent="0.3">
      <c r="B190" s="45" t="s">
        <v>103</v>
      </c>
      <c r="C190" s="418" t="s">
        <v>681</v>
      </c>
      <c r="D190" s="290" t="str">
        <f t="shared" si="47"/>
        <v>EURO</v>
      </c>
      <c r="E190" s="369">
        <f>IF(DelkaProjektu&gt;=E$143,'3. Input Data Cloud'!$L35+'3. Input Data Cloud'!$L47,0)</f>
        <v>0</v>
      </c>
      <c r="F190" s="369">
        <f>IF(DelkaProjektu&gt;=F$143,'3. Input Data Cloud'!$L35+'3. Input Data Cloud'!$L47,0)</f>
        <v>0</v>
      </c>
      <c r="G190" s="369">
        <f>IF(DelkaProjektu&gt;=G$143,'3. Input Data Cloud'!$L35+'3. Input Data Cloud'!$L47,0)</f>
        <v>0</v>
      </c>
      <c r="H190" s="369">
        <f>IF(DelkaProjektu&gt;=H$143,'3. Input Data Cloud'!$L35+'3. Input Data Cloud'!$L47,0)</f>
        <v>0</v>
      </c>
      <c r="I190" s="369">
        <f>IF(DelkaProjektu&gt;=I$143,'3. Input Data Cloud'!$L35+'3. Input Data Cloud'!$L47,0)</f>
        <v>0</v>
      </c>
      <c r="J190" s="370">
        <f t="shared" si="51"/>
        <v>0</v>
      </c>
      <c r="K190" s="24"/>
      <c r="L190" s="73" t="s">
        <v>165</v>
      </c>
    </row>
    <row r="191" spans="2:12" x14ac:dyDescent="0.3">
      <c r="B191" s="21" t="s">
        <v>190</v>
      </c>
      <c r="C191" s="376" t="s">
        <v>682</v>
      </c>
      <c r="D191" s="377" t="str">
        <f t="shared" si="47"/>
        <v>EURO</v>
      </c>
      <c r="E191" s="378">
        <f>E192+E194+E198</f>
        <v>0</v>
      </c>
      <c r="F191" s="378">
        <f t="shared" ref="F191:I191" si="53">F192+F194+F198</f>
        <v>0</v>
      </c>
      <c r="G191" s="378">
        <f t="shared" si="53"/>
        <v>0</v>
      </c>
      <c r="H191" s="378">
        <f t="shared" si="53"/>
        <v>0</v>
      </c>
      <c r="I191" s="378">
        <f t="shared" si="53"/>
        <v>0</v>
      </c>
      <c r="J191" s="378">
        <f t="shared" ref="J191:J217" si="54">SUM(E191:I191)</f>
        <v>0</v>
      </c>
      <c r="K191" s="24"/>
      <c r="L191" s="73" t="s">
        <v>165</v>
      </c>
    </row>
    <row r="192" spans="2:12" x14ac:dyDescent="0.3">
      <c r="B192" s="19" t="s">
        <v>191</v>
      </c>
      <c r="C192" s="389" t="s">
        <v>630</v>
      </c>
      <c r="D192" s="371" t="str">
        <f t="shared" si="47"/>
        <v>EURO</v>
      </c>
      <c r="E192" s="365">
        <f>SUM(E193)</f>
        <v>0</v>
      </c>
      <c r="F192" s="365">
        <f t="shared" ref="F192:I192" si="55">SUM(F193)</f>
        <v>0</v>
      </c>
      <c r="G192" s="365">
        <f t="shared" si="55"/>
        <v>0</v>
      </c>
      <c r="H192" s="365">
        <f t="shared" si="55"/>
        <v>0</v>
      </c>
      <c r="I192" s="365">
        <f t="shared" si="55"/>
        <v>0</v>
      </c>
      <c r="J192" s="366">
        <f t="shared" si="54"/>
        <v>0</v>
      </c>
      <c r="K192" s="24"/>
      <c r="L192" s="73" t="s">
        <v>165</v>
      </c>
    </row>
    <row r="193" spans="2:14" outlineLevel="1" x14ac:dyDescent="0.3">
      <c r="B193" s="22" t="s">
        <v>78</v>
      </c>
      <c r="C193" s="292" t="s">
        <v>683</v>
      </c>
      <c r="D193" s="290" t="str">
        <f t="shared" si="47"/>
        <v>EURO</v>
      </c>
      <c r="E193" s="369">
        <f>IF(DelkaProjektu&gt;=E$143,'3. Input Data Cloud'!$L74,0)</f>
        <v>0</v>
      </c>
      <c r="F193" s="369">
        <f>IF(DelkaProjektu&gt;=F$143,'3. Input Data Cloud'!$L74,0)</f>
        <v>0</v>
      </c>
      <c r="G193" s="369">
        <f>IF(DelkaProjektu&gt;=G$143,'3. Input Data Cloud'!$L74,0)</f>
        <v>0</v>
      </c>
      <c r="H193" s="369">
        <f>IF(DelkaProjektu&gt;=H$143,'3. Input Data Cloud'!$L74,0)</f>
        <v>0</v>
      </c>
      <c r="I193" s="369">
        <f>IF(DelkaProjektu&gt;=I$143,'3. Input Data Cloud'!$L74,0)</f>
        <v>0</v>
      </c>
      <c r="J193" s="370">
        <f>SUM(E193:I193)</f>
        <v>0</v>
      </c>
      <c r="K193" s="24"/>
      <c r="L193" s="73" t="s">
        <v>165</v>
      </c>
    </row>
    <row r="194" spans="2:14" ht="27.6" x14ac:dyDescent="0.3">
      <c r="B194" s="19" t="s">
        <v>193</v>
      </c>
      <c r="C194" s="389" t="s">
        <v>633</v>
      </c>
      <c r="D194" s="371" t="str">
        <f t="shared" si="47"/>
        <v>EURO</v>
      </c>
      <c r="E194" s="365">
        <f>SUM(E195:E197)</f>
        <v>0</v>
      </c>
      <c r="F194" s="365">
        <f t="shared" ref="F194:I194" si="56">SUM(F195:F197)</f>
        <v>0</v>
      </c>
      <c r="G194" s="365">
        <f t="shared" si="56"/>
        <v>0</v>
      </c>
      <c r="H194" s="365">
        <f t="shared" si="56"/>
        <v>0</v>
      </c>
      <c r="I194" s="365">
        <f t="shared" si="56"/>
        <v>0</v>
      </c>
      <c r="J194" s="366">
        <f t="shared" si="54"/>
        <v>0</v>
      </c>
      <c r="K194" s="24"/>
      <c r="L194" s="73" t="s">
        <v>165</v>
      </c>
    </row>
    <row r="195" spans="2:14" outlineLevel="1" x14ac:dyDescent="0.3">
      <c r="B195" s="22" t="s">
        <v>194</v>
      </c>
      <c r="C195" s="292" t="s">
        <v>684</v>
      </c>
      <c r="D195" s="290" t="str">
        <f t="shared" si="47"/>
        <v>EURO</v>
      </c>
      <c r="E195" s="369">
        <f>IF(DelkaProjektu&gt;=E$143,'3. Input Data Cloud'!$L60,0)</f>
        <v>0</v>
      </c>
      <c r="F195" s="369">
        <f>IF(DelkaProjektu&gt;=F$143,'3. Input Data Cloud'!$L60,0)</f>
        <v>0</v>
      </c>
      <c r="G195" s="369">
        <f>IF(DelkaProjektu&gt;=G$143,'3. Input Data Cloud'!$L60,0)</f>
        <v>0</v>
      </c>
      <c r="H195" s="369">
        <f>IF(DelkaProjektu&gt;=H$143,'3. Input Data Cloud'!$L60,0)</f>
        <v>0</v>
      </c>
      <c r="I195" s="369">
        <f>IF(DelkaProjektu&gt;=I$143,'3. Input Data Cloud'!$L60,0)</f>
        <v>0</v>
      </c>
      <c r="J195" s="370">
        <f t="shared" si="54"/>
        <v>0</v>
      </c>
      <c r="K195" s="24"/>
      <c r="L195" s="73" t="s">
        <v>165</v>
      </c>
    </row>
    <row r="196" spans="2:14" outlineLevel="1" x14ac:dyDescent="0.3">
      <c r="B196" s="22" t="s">
        <v>42</v>
      </c>
      <c r="C196" s="292" t="s">
        <v>685</v>
      </c>
      <c r="D196" s="290" t="str">
        <f t="shared" si="47"/>
        <v>EURO</v>
      </c>
      <c r="E196" s="369">
        <f>IF(DelkaProjektu&gt;=E$143,'3. Input Data Cloud'!$L57,0)</f>
        <v>0</v>
      </c>
      <c r="F196" s="369">
        <f>IF(DelkaProjektu&gt;=F$143,'3. Input Data Cloud'!$L57,0)</f>
        <v>0</v>
      </c>
      <c r="G196" s="369">
        <f>IF(DelkaProjektu&gt;=G$143,'3. Input Data Cloud'!$L57,0)</f>
        <v>0</v>
      </c>
      <c r="H196" s="369">
        <f>IF(DelkaProjektu&gt;=H$143,'3. Input Data Cloud'!$L57,0)</f>
        <v>0</v>
      </c>
      <c r="I196" s="369">
        <f>IF(DelkaProjektu&gt;=I$143,'3. Input Data Cloud'!$L57,0)</f>
        <v>0</v>
      </c>
      <c r="J196" s="370">
        <f t="shared" si="54"/>
        <v>0</v>
      </c>
      <c r="K196" s="24"/>
      <c r="L196" s="73" t="s">
        <v>165</v>
      </c>
    </row>
    <row r="197" spans="2:14" outlineLevel="1" x14ac:dyDescent="0.3">
      <c r="B197" s="22" t="s">
        <v>40</v>
      </c>
      <c r="C197" s="292" t="s">
        <v>684</v>
      </c>
      <c r="D197" s="290" t="str">
        <f t="shared" si="47"/>
        <v>EURO</v>
      </c>
      <c r="E197" s="369">
        <f>IF(DelkaProjektu&gt;=E$143,'3. Input Data Cloud'!$L66,0)</f>
        <v>0</v>
      </c>
      <c r="F197" s="369">
        <f>IF(DelkaProjektu&gt;=F$143,'3. Input Data Cloud'!$L66,0)</f>
        <v>0</v>
      </c>
      <c r="G197" s="369">
        <f>IF(DelkaProjektu&gt;=G$143,'3. Input Data Cloud'!$L66,0)</f>
        <v>0</v>
      </c>
      <c r="H197" s="369">
        <f>IF(DelkaProjektu&gt;=H$143,'3. Input Data Cloud'!$L66,0)</f>
        <v>0</v>
      </c>
      <c r="I197" s="369">
        <f>IF(DelkaProjektu&gt;=I$143,'3. Input Data Cloud'!$L66,0)</f>
        <v>0</v>
      </c>
      <c r="J197" s="370">
        <f>SUM(E197:I197)</f>
        <v>0</v>
      </c>
      <c r="K197" s="24"/>
      <c r="L197" s="73" t="s">
        <v>208</v>
      </c>
    </row>
    <row r="198" spans="2:14" x14ac:dyDescent="0.3">
      <c r="B198" s="19" t="s">
        <v>46</v>
      </c>
      <c r="C198" s="389" t="s">
        <v>637</v>
      </c>
      <c r="D198" s="371" t="str">
        <f t="shared" si="47"/>
        <v>EURO</v>
      </c>
      <c r="E198" s="365">
        <f>IF(DelkaProjektu&gt;=E$143,'3. Input Data Cloud'!$L54,0)</f>
        <v>0</v>
      </c>
      <c r="F198" s="365">
        <f>IF(DelkaProjektu&gt;=F$143,'3. Input Data Cloud'!$L54,0)</f>
        <v>0</v>
      </c>
      <c r="G198" s="365">
        <f>IF(DelkaProjektu&gt;=G$143,'3. Input Data Cloud'!$L54,0)</f>
        <v>0</v>
      </c>
      <c r="H198" s="365">
        <f>IF(DelkaProjektu&gt;=H$143,'3. Input Data Cloud'!$L54,0)</f>
        <v>0</v>
      </c>
      <c r="I198" s="365">
        <f>IF(DelkaProjektu&gt;=I$143,'3. Input Data Cloud'!$L54,0)</f>
        <v>0</v>
      </c>
      <c r="J198" s="366">
        <f t="shared" si="54"/>
        <v>0</v>
      </c>
      <c r="K198" s="24"/>
      <c r="L198" s="73" t="s">
        <v>165</v>
      </c>
    </row>
    <row r="199" spans="2:14" ht="15" customHeight="1" x14ac:dyDescent="0.3">
      <c r="B199" s="21" t="s">
        <v>197</v>
      </c>
      <c r="C199" s="376" t="s">
        <v>460</v>
      </c>
      <c r="D199" s="377" t="str">
        <f t="shared" si="47"/>
        <v>EURO</v>
      </c>
      <c r="E199" s="378">
        <f>SUM(E200:E203)</f>
        <v>0</v>
      </c>
      <c r="F199" s="378">
        <f t="shared" ref="F199:I199" si="57">SUM(F200:F203)</f>
        <v>0</v>
      </c>
      <c r="G199" s="378">
        <f t="shared" si="57"/>
        <v>0</v>
      </c>
      <c r="H199" s="378">
        <f t="shared" si="57"/>
        <v>0</v>
      </c>
      <c r="I199" s="378">
        <f t="shared" si="57"/>
        <v>0</v>
      </c>
      <c r="J199" s="378">
        <f>SUM(E199:I199)</f>
        <v>0</v>
      </c>
      <c r="K199" s="52"/>
      <c r="L199" s="37" t="s">
        <v>165</v>
      </c>
      <c r="M199" s="39"/>
      <c r="N199" s="53" t="s">
        <v>198</v>
      </c>
    </row>
    <row r="200" spans="2:14" ht="15" customHeight="1" x14ac:dyDescent="0.3">
      <c r="B200" s="19" t="s">
        <v>129</v>
      </c>
      <c r="C200" s="389" t="s">
        <v>461</v>
      </c>
      <c r="D200" s="371" t="str">
        <f t="shared" si="47"/>
        <v>EURO</v>
      </c>
      <c r="E200" s="374">
        <f>IF(AND('3. Input Data Cloud'!$D$133="NO",DelkaProjektu&gt;=E$143),('3. Input Data Cloud'!$L124+'3. Input Data Cloud'!$L125)/DelkaProjektu,IF(DelkaProjektu=E$143,'3. Input Data Cloud'!$L124+'3. Input Data Cloud'!$L125,0))</f>
        <v>0</v>
      </c>
      <c r="F200" s="374">
        <f>IF(AND('3. Input Data Cloud'!$D$133="NO",DelkaProjektu&gt;=F$143),('3. Input Data Cloud'!$L124+'3. Input Data Cloud'!$L125)/DelkaProjektu,IF(DelkaProjektu=F$143,'3. Input Data Cloud'!$L124+'3. Input Data Cloud'!$L125,0))</f>
        <v>0</v>
      </c>
      <c r="G200" s="374">
        <f>IF(AND('3. Input Data Cloud'!$D$133="NO",DelkaProjektu&gt;=G$143),('3. Input Data Cloud'!$L124+'3. Input Data Cloud'!$L125)/DelkaProjektu,IF(DelkaProjektu=G$143,'3. Input Data Cloud'!$L124+'3. Input Data Cloud'!$L125,0))</f>
        <v>0</v>
      </c>
      <c r="H200" s="374">
        <f>IF(AND('3. Input Data Cloud'!$D$133="NO",DelkaProjektu&gt;=H$143),('3. Input Data Cloud'!$L124+'3. Input Data Cloud'!$L125)/DelkaProjektu,IF(DelkaProjektu=H$143,'3. Input Data Cloud'!$L124+'3. Input Data Cloud'!$L125,0))</f>
        <v>0</v>
      </c>
      <c r="I200" s="374">
        <f>IF(AND('3. Input Data Cloud'!$D$133="NO",DelkaProjektu&gt;=I$143),('3. Input Data Cloud'!$L124+'3. Input Data Cloud'!$L125)/DelkaProjektu,IF(DelkaProjektu=I$143,'3. Input Data Cloud'!$L124+'3. Input Data Cloud'!$L125,0))</f>
        <v>0</v>
      </c>
      <c r="J200" s="380">
        <f t="shared" ref="J200:J203" si="58">SUM(E200:I200)</f>
        <v>0</v>
      </c>
      <c r="K200" s="52"/>
      <c r="L200" s="37" t="s">
        <v>165</v>
      </c>
      <c r="N200" s="39" t="s">
        <v>166</v>
      </c>
    </row>
    <row r="201" spans="2:14" ht="15" customHeight="1" x14ac:dyDescent="0.3">
      <c r="B201" s="19" t="s">
        <v>131</v>
      </c>
      <c r="C201" s="389" t="s">
        <v>462</v>
      </c>
      <c r="D201" s="371" t="str">
        <f t="shared" si="47"/>
        <v>EURO</v>
      </c>
      <c r="E201" s="374">
        <f>IF(AND('3. Input Data Cloud'!$D$133="NO",DelkaProjektu&gt;=E$143),('3. Input Data Cloud'!$L126+'3. Input Data Cloud'!$L127)/DelkaProjektu,IF(DelkaProjektu=E$143,'3. Input Data Cloud'!$L126+'3. Input Data Cloud'!$L127,0))</f>
        <v>0</v>
      </c>
      <c r="F201" s="374">
        <f>IF(AND('3. Input Data Cloud'!$D$133="NO",DelkaProjektu&gt;=F$143),('3. Input Data Cloud'!$L126+'3. Input Data Cloud'!$L127)/DelkaProjektu,IF(DelkaProjektu=F$143,'3. Input Data Cloud'!$L126+'3. Input Data Cloud'!$L127,0))</f>
        <v>0</v>
      </c>
      <c r="G201" s="374">
        <f>IF(AND('3. Input Data Cloud'!$D$133="NO",DelkaProjektu&gt;=G$143),('3. Input Data Cloud'!$L126+'3. Input Data Cloud'!$L127)/DelkaProjektu,IF(DelkaProjektu=G$143,'3. Input Data Cloud'!$L126+'3. Input Data Cloud'!$L127,0))</f>
        <v>0</v>
      </c>
      <c r="H201" s="374">
        <f>IF(AND('3. Input Data Cloud'!$D$133="NO",DelkaProjektu&gt;=H$143),('3. Input Data Cloud'!$L126+'3. Input Data Cloud'!$L127)/DelkaProjektu,IF(DelkaProjektu=H$143,'3. Input Data Cloud'!$L126+'3. Input Data Cloud'!$L127,0))</f>
        <v>0</v>
      </c>
      <c r="I201" s="374">
        <f>IF(AND('3. Input Data Cloud'!$D$133="NO",DelkaProjektu&gt;=I$143),('3. Input Data Cloud'!$L126+'3. Input Data Cloud'!$L127)/DelkaProjektu,IF(DelkaProjektu=I$143,'3. Input Data Cloud'!$L126+'3. Input Data Cloud'!$L127,0))</f>
        <v>0</v>
      </c>
      <c r="J201" s="380">
        <f t="shared" si="58"/>
        <v>0</v>
      </c>
      <c r="K201" s="52"/>
      <c r="L201" s="37" t="s">
        <v>165</v>
      </c>
      <c r="N201" s="39" t="s">
        <v>166</v>
      </c>
    </row>
    <row r="202" spans="2:14" ht="15" customHeight="1" x14ac:dyDescent="0.3">
      <c r="B202" s="19" t="s">
        <v>132</v>
      </c>
      <c r="C202" s="389" t="s">
        <v>645</v>
      </c>
      <c r="D202" s="371" t="str">
        <f t="shared" si="47"/>
        <v>EURO</v>
      </c>
      <c r="E202" s="374">
        <f>IF(AND('3. Input Data Cloud'!$D$133="NO",DelkaProjektu&gt;=E$143),('3. Input Data Cloud'!$L128+'3. Input Data Cloud'!$L129)/DelkaProjektu,IF(DelkaProjektu=E$143,'3. Input Data Cloud'!$L128+'3. Input Data Cloud'!$L129,0))</f>
        <v>0</v>
      </c>
      <c r="F202" s="374">
        <f>IF(AND('3. Input Data Cloud'!$D$133="NO",DelkaProjektu&gt;=F$143),('3. Input Data Cloud'!$L128+'3. Input Data Cloud'!$L129)/DelkaProjektu,IF(DelkaProjektu=F$143,'3. Input Data Cloud'!$L128+'3. Input Data Cloud'!$L129,0))</f>
        <v>0</v>
      </c>
      <c r="G202" s="374">
        <f>IF(AND('3. Input Data Cloud'!$D$133="NO",DelkaProjektu&gt;=G$143),('3. Input Data Cloud'!$L128+'3. Input Data Cloud'!$L129)/DelkaProjektu,IF(DelkaProjektu=G$143,'3. Input Data Cloud'!$L128+'3. Input Data Cloud'!$L129,0))</f>
        <v>0</v>
      </c>
      <c r="H202" s="374">
        <f>IF(AND('3. Input Data Cloud'!$D$133="NO",DelkaProjektu&gt;=H$143),('3. Input Data Cloud'!$L128+'3. Input Data Cloud'!$L129)/DelkaProjektu,IF(DelkaProjektu=H$143,'3. Input Data Cloud'!$L128+'3. Input Data Cloud'!$L129,0))</f>
        <v>0</v>
      </c>
      <c r="I202" s="374">
        <f>IF(AND('3. Input Data Cloud'!$D$133="NO",DelkaProjektu&gt;=I$143),('3. Input Data Cloud'!$L128+'3. Input Data Cloud'!$L129)/DelkaProjektu,IF(DelkaProjektu=I$143,'3. Input Data Cloud'!$L128+'3. Input Data Cloud'!$L129,0))</f>
        <v>0</v>
      </c>
      <c r="J202" s="380">
        <f t="shared" si="58"/>
        <v>0</v>
      </c>
      <c r="K202" s="52"/>
      <c r="L202" s="37" t="s">
        <v>165</v>
      </c>
      <c r="N202" s="35" t="s">
        <v>166</v>
      </c>
    </row>
    <row r="203" spans="2:14" ht="15" customHeight="1" x14ac:dyDescent="0.3">
      <c r="B203" s="19" t="s">
        <v>133</v>
      </c>
      <c r="C203" s="389" t="s">
        <v>465</v>
      </c>
      <c r="D203" s="371" t="str">
        <f t="shared" si="47"/>
        <v>EURO</v>
      </c>
      <c r="E203" s="374">
        <f>IF(AND('3. Input Data Cloud'!$D$133="NO",DelkaProjektu&gt;=E$143),('3. Input Data Cloud'!$L130+'3. Input Data Cloud'!$L131)/DelkaProjektu,IF(DelkaProjektu=E$143,'3. Input Data Cloud'!$L131+'3. Input Data Cloud'!$L130,0))</f>
        <v>0</v>
      </c>
      <c r="F203" s="374">
        <f>IF(AND('3. Input Data Cloud'!$D$133="NO",DelkaProjektu&gt;=F$143),('3. Input Data Cloud'!$L130+'3. Input Data Cloud'!$L131)/DelkaProjektu,IF(DelkaProjektu=F$143,'3. Input Data Cloud'!$L131+'3. Input Data Cloud'!$L130,0))</f>
        <v>0</v>
      </c>
      <c r="G203" s="374">
        <f>IF(AND('3. Input Data Cloud'!$D$133="NO",DelkaProjektu&gt;=G$143),('3. Input Data Cloud'!$L130+'3. Input Data Cloud'!$L131)/DelkaProjektu,IF(DelkaProjektu=G$143,'3. Input Data Cloud'!$L131+'3. Input Data Cloud'!$L130,0))</f>
        <v>0</v>
      </c>
      <c r="H203" s="374">
        <f>IF(AND('3. Input Data Cloud'!$D$133="NO",DelkaProjektu&gt;=H$143),('3. Input Data Cloud'!$L130+'3. Input Data Cloud'!$L131)/DelkaProjektu,IF(DelkaProjektu=H$143,'3. Input Data Cloud'!$L131+'3. Input Data Cloud'!$L130,0))</f>
        <v>0</v>
      </c>
      <c r="I203" s="374">
        <f>IF(AND('3. Input Data Cloud'!$D$133="NO",DelkaProjektu&gt;=I$143),('3. Input Data Cloud'!$L130+'3. Input Data Cloud'!$L131)/DelkaProjektu,IF(DelkaProjektu=I$143,'3. Input Data Cloud'!$L131+'3. Input Data Cloud'!$L130,0))</f>
        <v>0</v>
      </c>
      <c r="J203" s="380">
        <f t="shared" si="58"/>
        <v>0</v>
      </c>
      <c r="K203" s="52"/>
      <c r="L203" s="37" t="s">
        <v>165</v>
      </c>
      <c r="N203" s="35" t="s">
        <v>199</v>
      </c>
    </row>
    <row r="204" spans="2:14" ht="15" customHeight="1" x14ac:dyDescent="0.3">
      <c r="B204" s="21" t="s">
        <v>200</v>
      </c>
      <c r="C204" s="376" t="s">
        <v>468</v>
      </c>
      <c r="D204" s="377" t="str">
        <f t="shared" si="47"/>
        <v>EURO</v>
      </c>
      <c r="E204" s="378">
        <f>SUM(E205)</f>
        <v>0</v>
      </c>
      <c r="F204" s="378">
        <f t="shared" ref="F204:I204" si="59">SUM(F205)</f>
        <v>0</v>
      </c>
      <c r="G204" s="378">
        <f t="shared" si="59"/>
        <v>0</v>
      </c>
      <c r="H204" s="378">
        <f t="shared" si="59"/>
        <v>0</v>
      </c>
      <c r="I204" s="378">
        <f t="shared" si="59"/>
        <v>0</v>
      </c>
      <c r="J204" s="378">
        <f>SUM(E204:I204)</f>
        <v>0</v>
      </c>
      <c r="K204" s="52"/>
      <c r="L204" s="37" t="s">
        <v>165</v>
      </c>
      <c r="M204" s="53"/>
      <c r="N204" s="53" t="s">
        <v>198</v>
      </c>
    </row>
    <row r="205" spans="2:14" ht="15" customHeight="1" x14ac:dyDescent="0.3">
      <c r="B205" s="19" t="s">
        <v>134</v>
      </c>
      <c r="C205" s="389" t="s">
        <v>686</v>
      </c>
      <c r="D205" s="371" t="str">
        <f t="shared" si="47"/>
        <v>EURO</v>
      </c>
      <c r="E205" s="374">
        <f>IF(AND('3. Input Data Cloud'!$D$139="NO",DelkaProjektu&gt;=E$143),('3. Input Data Cloud'!$L136+'3. Input Data Cloud'!$L137)/DelkaProjektu,IF(DelkaProjektu=E$143,'3. Input Data Cloud'!$L136+'3. Input Data Cloud'!$L137,0))</f>
        <v>0</v>
      </c>
      <c r="F205" s="374">
        <f>IF(AND('3. Input Data Cloud'!$D$139="NO",DelkaProjektu&gt;=F$143),('3. Input Data Cloud'!$L136+'3. Input Data Cloud'!$L137)/DelkaProjektu,IF(DelkaProjektu=F$143,'3. Input Data Cloud'!$L136+'3. Input Data Cloud'!$L137,0))</f>
        <v>0</v>
      </c>
      <c r="G205" s="374">
        <f>IF(AND('3. Input Data Cloud'!$D$139="NO",DelkaProjektu&gt;=G$143),('3. Input Data Cloud'!$L136+'3. Input Data Cloud'!$L137)/DelkaProjektu,IF(DelkaProjektu=G$143,'3. Input Data Cloud'!$L136+'3. Input Data Cloud'!$L137,0))</f>
        <v>0</v>
      </c>
      <c r="H205" s="374">
        <f>IF(AND('3. Input Data Cloud'!$D$139="NO",DelkaProjektu&gt;=H$143),('3. Input Data Cloud'!$L136+'3. Input Data Cloud'!$L137)/DelkaProjektu,IF(DelkaProjektu=H$143,'3. Input Data Cloud'!$L136+'3. Input Data Cloud'!$L137,0))</f>
        <v>0</v>
      </c>
      <c r="I205" s="374">
        <f>IF(AND('3. Input Data Cloud'!$D$139="NO",DelkaProjektu&gt;=I$143),('3. Input Data Cloud'!$L136+'3. Input Data Cloud'!$L137)/DelkaProjektu,IF(DelkaProjektu=I$143,'3. Input Data Cloud'!$L136+'3. Input Data Cloud'!$L137,0))</f>
        <v>0</v>
      </c>
      <c r="J205" s="380">
        <f t="shared" ref="J205" si="60">SUM(E205:I205)</f>
        <v>0</v>
      </c>
      <c r="K205" s="52"/>
      <c r="L205" s="37" t="s">
        <v>165</v>
      </c>
      <c r="N205" s="35" t="s">
        <v>166</v>
      </c>
    </row>
    <row r="206" spans="2:14" ht="15" customHeight="1" x14ac:dyDescent="0.3">
      <c r="B206" s="21" t="s">
        <v>201</v>
      </c>
      <c r="C206" s="376" t="s">
        <v>687</v>
      </c>
      <c r="D206" s="377" t="str">
        <f t="shared" si="47"/>
        <v>EURO</v>
      </c>
      <c r="E206" s="378">
        <f>E207+E210</f>
        <v>0</v>
      </c>
      <c r="F206" s="378">
        <f>F207+F210</f>
        <v>0</v>
      </c>
      <c r="G206" s="378">
        <f>G207+G210</f>
        <v>0</v>
      </c>
      <c r="H206" s="378">
        <f>H207+H210</f>
        <v>0</v>
      </c>
      <c r="I206" s="378">
        <f>I207+I210</f>
        <v>0</v>
      </c>
      <c r="J206" s="378">
        <f>SUM(E206:I206)</f>
        <v>0</v>
      </c>
      <c r="K206" s="52"/>
      <c r="L206" s="37" t="s">
        <v>165</v>
      </c>
      <c r="M206" s="39"/>
      <c r="N206" s="39" t="s">
        <v>202</v>
      </c>
    </row>
    <row r="207" spans="2:14" ht="15" customHeight="1" x14ac:dyDescent="0.3">
      <c r="B207" s="19" t="s">
        <v>203</v>
      </c>
      <c r="C207" s="389" t="s">
        <v>646</v>
      </c>
      <c r="D207" s="371" t="str">
        <f t="shared" si="47"/>
        <v>EURO</v>
      </c>
      <c r="E207" s="365">
        <f>SUM(E208:E209)</f>
        <v>0</v>
      </c>
      <c r="F207" s="365">
        <f t="shared" ref="F207:I207" si="61">SUM(F208:F209)</f>
        <v>0</v>
      </c>
      <c r="G207" s="365">
        <f t="shared" si="61"/>
        <v>0</v>
      </c>
      <c r="H207" s="365">
        <f t="shared" si="61"/>
        <v>0</v>
      </c>
      <c r="I207" s="365">
        <f t="shared" si="61"/>
        <v>0</v>
      </c>
      <c r="J207" s="380">
        <f t="shared" ref="J207" si="62">SUM(E207:I207)</f>
        <v>0</v>
      </c>
      <c r="K207" s="52"/>
      <c r="L207" s="37" t="s">
        <v>165</v>
      </c>
      <c r="N207" s="35" t="s">
        <v>166</v>
      </c>
    </row>
    <row r="208" spans="2:14" ht="15" customHeight="1" outlineLevel="1" x14ac:dyDescent="0.3">
      <c r="B208" s="45" t="s">
        <v>204</v>
      </c>
      <c r="C208" s="419" t="s">
        <v>647</v>
      </c>
      <c r="D208" s="290" t="str">
        <f t="shared" si="47"/>
        <v>EURO</v>
      </c>
      <c r="E208" s="369">
        <f>IF(DelkaProjektu&gt;=E$143,'3. Input Data Cloud'!$L142+'3. Input Data Cloud'!$L143,0)</f>
        <v>0</v>
      </c>
      <c r="F208" s="369">
        <f>IF(DelkaProjektu&gt;=F$143,'3. Input Data Cloud'!$L142+'3. Input Data Cloud'!$L143,0)</f>
        <v>0</v>
      </c>
      <c r="G208" s="369">
        <f>IF(DelkaProjektu&gt;=G$143,'3. Input Data Cloud'!$L142+'3. Input Data Cloud'!$L143,0)</f>
        <v>0</v>
      </c>
      <c r="H208" s="369">
        <f>IF(DelkaProjektu&gt;=H$143,'3. Input Data Cloud'!$L142+'3. Input Data Cloud'!$L143,0)</f>
        <v>0</v>
      </c>
      <c r="I208" s="369">
        <f>IF(DelkaProjektu&gt;=I$143,'3. Input Data Cloud'!$L142+'3. Input Data Cloud'!$L143,0)</f>
        <v>0</v>
      </c>
      <c r="J208" s="390">
        <f>SUM(E208:I208)</f>
        <v>0</v>
      </c>
      <c r="K208" s="52"/>
      <c r="L208" s="37" t="s">
        <v>165</v>
      </c>
      <c r="N208" s="35" t="s">
        <v>166</v>
      </c>
    </row>
    <row r="209" spans="2:14" ht="15" customHeight="1" outlineLevel="1" x14ac:dyDescent="0.3">
      <c r="B209" s="45" t="s">
        <v>140</v>
      </c>
      <c r="C209" s="419" t="s">
        <v>688</v>
      </c>
      <c r="D209" s="290" t="str">
        <f t="shared" si="47"/>
        <v>EURO</v>
      </c>
      <c r="E209" s="369">
        <f>IF(DelkaProjektu&gt;=E$143,'3. Input Data Cloud'!$L144+'3. Input Data Cloud'!$L145,0)</f>
        <v>0</v>
      </c>
      <c r="F209" s="369">
        <f>IF(DelkaProjektu&gt;=F$143,'3. Input Data Cloud'!$L144+'3. Input Data Cloud'!$L145,0)</f>
        <v>0</v>
      </c>
      <c r="G209" s="369">
        <f>IF(DelkaProjektu&gt;=G$143,'3. Input Data Cloud'!$L144+'3. Input Data Cloud'!$L145,0)</f>
        <v>0</v>
      </c>
      <c r="H209" s="369">
        <f>IF(DelkaProjektu&gt;=H$143,'3. Input Data Cloud'!$L144+'3. Input Data Cloud'!$L145,0)</f>
        <v>0</v>
      </c>
      <c r="I209" s="369">
        <f>IF(DelkaProjektu&gt;=I$143,'3. Input Data Cloud'!$L144+'3. Input Data Cloud'!$L145,0)</f>
        <v>0</v>
      </c>
      <c r="J209" s="390">
        <f>SUM(E209:I209)</f>
        <v>0</v>
      </c>
      <c r="K209" s="52"/>
      <c r="L209" s="37" t="s">
        <v>165</v>
      </c>
      <c r="N209" s="35" t="s">
        <v>166</v>
      </c>
    </row>
    <row r="210" spans="2:14" ht="15" customHeight="1" x14ac:dyDescent="0.3">
      <c r="B210" s="19" t="s">
        <v>141</v>
      </c>
      <c r="C210" s="389" t="s">
        <v>649</v>
      </c>
      <c r="D210" s="371" t="str">
        <f t="shared" ref="D210:D220" si="63">JenotkaMěny</f>
        <v>EURO</v>
      </c>
      <c r="E210" s="374">
        <f>IF(DelkaProjektu&gt;=E$27,'3. Input Data Cloud'!$L146+'3. Input Data Cloud'!$L147,0)</f>
        <v>0</v>
      </c>
      <c r="F210" s="374">
        <f>IF(DelkaProjektu&gt;=F$27,'3. Input Data Cloud'!$L146+'3. Input Data Cloud'!$L147,0)</f>
        <v>0</v>
      </c>
      <c r="G210" s="374">
        <f>IF(DelkaProjektu&gt;=G$27,'3. Input Data Cloud'!$L146+'3. Input Data Cloud'!$L147,0)</f>
        <v>0</v>
      </c>
      <c r="H210" s="374">
        <f>IF(DelkaProjektu&gt;=H$27,'3. Input Data Cloud'!$L146+'3. Input Data Cloud'!$L147,0)</f>
        <v>0</v>
      </c>
      <c r="I210" s="374">
        <f>IF(DelkaProjektu&gt;=I$27,'3. Input Data Cloud'!$L146+'3. Input Data Cloud'!$L147,0)</f>
        <v>0</v>
      </c>
      <c r="J210" s="380">
        <f t="shared" ref="J210" si="64">SUM(E210:I210)</f>
        <v>0</v>
      </c>
      <c r="K210" s="52"/>
      <c r="L210" s="37" t="s">
        <v>165</v>
      </c>
      <c r="N210" s="35" t="s">
        <v>166</v>
      </c>
    </row>
    <row r="211" spans="2:14" ht="15" customHeight="1" x14ac:dyDescent="0.3">
      <c r="B211" s="21" t="s">
        <v>205</v>
      </c>
      <c r="C211" s="376" t="s">
        <v>689</v>
      </c>
      <c r="D211" s="377" t="str">
        <f t="shared" si="63"/>
        <v>EURO</v>
      </c>
      <c r="E211" s="378">
        <f>SUM(E212:E214)</f>
        <v>0</v>
      </c>
      <c r="F211" s="378">
        <f t="shared" ref="F211:I211" si="65">SUM(F212:F214)</f>
        <v>0</v>
      </c>
      <c r="G211" s="378">
        <f t="shared" si="65"/>
        <v>0</v>
      </c>
      <c r="H211" s="378">
        <f t="shared" si="65"/>
        <v>0</v>
      </c>
      <c r="I211" s="378">
        <f t="shared" si="65"/>
        <v>0</v>
      </c>
      <c r="J211" s="378">
        <f>SUM(E211:I211)</f>
        <v>0</v>
      </c>
      <c r="K211" s="52"/>
      <c r="L211" s="37" t="s">
        <v>165</v>
      </c>
      <c r="M211" s="1"/>
      <c r="N211" s="39" t="s">
        <v>198</v>
      </c>
    </row>
    <row r="212" spans="2:14" ht="15" customHeight="1" x14ac:dyDescent="0.3">
      <c r="B212" s="19" t="s">
        <v>142</v>
      </c>
      <c r="C212" s="389" t="s">
        <v>690</v>
      </c>
      <c r="D212" s="371" t="str">
        <f t="shared" si="63"/>
        <v>EURO</v>
      </c>
      <c r="E212" s="374">
        <f>IF(AND('3. Input Data Cloud'!$D$157="NO",DelkaProjektu&gt;=E$143),('3. Input Data Cloud'!$L150+'3. Input Data Cloud'!$L151)/DelkaProjektu,IF(DelkaProjektu=E$143,'3. Input Data Cloud'!$L150+'3. Input Data Cloud'!$L151,0))</f>
        <v>0</v>
      </c>
      <c r="F212" s="374">
        <f>IF(AND('3. Input Data Cloud'!$D$157="NO",DelkaProjektu&gt;=F$143),('3. Input Data Cloud'!$L150+'3. Input Data Cloud'!$L151)/DelkaProjektu,IF(DelkaProjektu=F$143,'3. Input Data Cloud'!$L150+'3. Input Data Cloud'!$L151,0))</f>
        <v>0</v>
      </c>
      <c r="G212" s="374">
        <f>IF(AND('3. Input Data Cloud'!$D$157="NO",DelkaProjektu&gt;=G$143),('3. Input Data Cloud'!$L150+'3. Input Data Cloud'!$L151)/DelkaProjektu,IF(DelkaProjektu=G$143,'3. Input Data Cloud'!$L150+'3. Input Data Cloud'!$L151,0))</f>
        <v>0</v>
      </c>
      <c r="H212" s="374">
        <f>IF(AND('3. Input Data Cloud'!$D$157="NO",DelkaProjektu&gt;=H$143),('3. Input Data Cloud'!$L150+'3. Input Data Cloud'!$L151)/DelkaProjektu,IF(DelkaProjektu=H$143,'3. Input Data Cloud'!$L150+'3. Input Data Cloud'!$L151,0))</f>
        <v>0</v>
      </c>
      <c r="I212" s="374">
        <f>IF(AND('3. Input Data Cloud'!$D$157="NO",DelkaProjektu&gt;=I$143),('3. Input Data Cloud'!$L150+'3. Input Data Cloud'!$L151)/DelkaProjektu,IF(DelkaProjektu=I$143,'3. Input Data Cloud'!$L150+'3. Input Data Cloud'!$L151,0))</f>
        <v>0</v>
      </c>
      <c r="J212" s="380">
        <f t="shared" ref="J212:J214" si="66">SUM(E212:I212)</f>
        <v>0</v>
      </c>
      <c r="K212" s="52"/>
      <c r="L212" s="37" t="s">
        <v>165</v>
      </c>
      <c r="N212" s="35" t="s">
        <v>166</v>
      </c>
    </row>
    <row r="213" spans="2:14" ht="15" customHeight="1" x14ac:dyDescent="0.3">
      <c r="B213" s="19" t="s">
        <v>143</v>
      </c>
      <c r="C213" s="389" t="s">
        <v>481</v>
      </c>
      <c r="D213" s="371" t="str">
        <f t="shared" si="63"/>
        <v>EURO</v>
      </c>
      <c r="E213" s="374">
        <f>IF(AND('3. Input Data Cloud'!$D$157="NO",DelkaProjektu&gt;=E$143),('3. Input Data Cloud'!$L153+'3. Input Data Cloud'!$L152)/DelkaProjektu,IF(DelkaProjektu=E$143,'3. Input Data Cloud'!$L153+'3. Input Data Cloud'!$L152,0))</f>
        <v>0</v>
      </c>
      <c r="F213" s="374">
        <f>IF(AND('3. Input Data Cloud'!$D$157="NO",DelkaProjektu&gt;=F$143),('3. Input Data Cloud'!$L153+'3. Input Data Cloud'!$L152)/DelkaProjektu,IF(DelkaProjektu=F$143,'3. Input Data Cloud'!$L153+'3. Input Data Cloud'!$L152,0))</f>
        <v>0</v>
      </c>
      <c r="G213" s="374">
        <f>IF(AND('3. Input Data Cloud'!$D$157="NO",DelkaProjektu&gt;=G$143),('3. Input Data Cloud'!$L153+'3. Input Data Cloud'!$L152)/DelkaProjektu,IF(DelkaProjektu=G$143,'3. Input Data Cloud'!$L153+'3. Input Data Cloud'!$L152,0))</f>
        <v>0</v>
      </c>
      <c r="H213" s="374">
        <f>IF(AND('3. Input Data Cloud'!$D$157="NO",DelkaProjektu&gt;=H$143),('3. Input Data Cloud'!$L153+'3. Input Data Cloud'!$L152)/DelkaProjektu,IF(DelkaProjektu=H$143,'3. Input Data Cloud'!$L153+'3. Input Data Cloud'!$L152,0))</f>
        <v>0</v>
      </c>
      <c r="I213" s="374">
        <f>IF(AND('3. Input Data Cloud'!$D$157="NO",DelkaProjektu&gt;=I$143),('3. Input Data Cloud'!$L153+'3. Input Data Cloud'!$L152)/DelkaProjektu,IF(DelkaProjektu=I$143,'3. Input Data Cloud'!$L153+'3. Input Data Cloud'!$L152,0))</f>
        <v>0</v>
      </c>
      <c r="J213" s="380">
        <f t="shared" si="66"/>
        <v>0</v>
      </c>
      <c r="K213" s="52"/>
      <c r="L213" s="37" t="s">
        <v>165</v>
      </c>
      <c r="N213" s="35" t="s">
        <v>166</v>
      </c>
    </row>
    <row r="214" spans="2:14" ht="15" customHeight="1" x14ac:dyDescent="0.3">
      <c r="B214" s="19" t="s">
        <v>144</v>
      </c>
      <c r="C214" s="389" t="s">
        <v>652</v>
      </c>
      <c r="D214" s="371" t="str">
        <f t="shared" si="63"/>
        <v>EURO</v>
      </c>
      <c r="E214" s="374">
        <f>IF(AND('3. Input Data Cloud'!$D$157="NO",DelkaProjektu&gt;=E$143),('3. Input Data Cloud'!$L154+'3. Input Data Cloud'!$L155)/DelkaProjektu,IF(DelkaProjektu=E$143,'3. Input Data Cloud'!$L154+'3. Input Data Cloud'!$L155,0))</f>
        <v>0</v>
      </c>
      <c r="F214" s="374">
        <f>IF(AND('3. Input Data Cloud'!$D$157="NO",DelkaProjektu&gt;=F$143),('3. Input Data Cloud'!$L154+'3. Input Data Cloud'!$L155)/DelkaProjektu,IF(DelkaProjektu=F$143,'3. Input Data Cloud'!$L154+'3. Input Data Cloud'!$L155,0))</f>
        <v>0</v>
      </c>
      <c r="G214" s="374">
        <f>IF(AND('3. Input Data Cloud'!$D$157="NO",DelkaProjektu&gt;=G$143),('3. Input Data Cloud'!$L154+'3. Input Data Cloud'!$L155)/DelkaProjektu,IF(DelkaProjektu=G$143,'3. Input Data Cloud'!$L154+'3. Input Data Cloud'!$L155,0))</f>
        <v>0</v>
      </c>
      <c r="H214" s="374">
        <f>IF(AND('3. Input Data Cloud'!$D$157="NO",DelkaProjektu&gt;=H$143),('3. Input Data Cloud'!$L154+'3. Input Data Cloud'!$L155)/DelkaProjektu,IF(DelkaProjektu=H$143,'3. Input Data Cloud'!$L154+'3. Input Data Cloud'!$L155,0))</f>
        <v>0</v>
      </c>
      <c r="I214" s="374">
        <f>IF(AND('3. Input Data Cloud'!$D$157="NO",DelkaProjektu&gt;=I$143),('3. Input Data Cloud'!$L154+'3. Input Data Cloud'!$L155)/DelkaProjektu,IF(DelkaProjektu=I$143,'3. Input Data Cloud'!$L154+'3. Input Data Cloud'!$L155,0))</f>
        <v>0</v>
      </c>
      <c r="J214" s="380">
        <f t="shared" si="66"/>
        <v>0</v>
      </c>
      <c r="K214" s="52"/>
      <c r="L214" s="37" t="s">
        <v>165</v>
      </c>
      <c r="N214" s="35" t="s">
        <v>166</v>
      </c>
    </row>
    <row r="215" spans="2:14" ht="25.2" customHeight="1" x14ac:dyDescent="0.3">
      <c r="B215" s="21" t="s">
        <v>170</v>
      </c>
      <c r="C215" s="376" t="s">
        <v>691</v>
      </c>
      <c r="D215" s="377" t="str">
        <f t="shared" si="63"/>
        <v>EURO</v>
      </c>
      <c r="E215" s="378">
        <f>SUM(E216)</f>
        <v>0</v>
      </c>
      <c r="F215" s="378">
        <f t="shared" ref="F215:I215" si="67">SUM(F216)</f>
        <v>0</v>
      </c>
      <c r="G215" s="378">
        <f t="shared" si="67"/>
        <v>0</v>
      </c>
      <c r="H215" s="378">
        <f t="shared" si="67"/>
        <v>0</v>
      </c>
      <c r="I215" s="378">
        <f t="shared" si="67"/>
        <v>0</v>
      </c>
      <c r="J215" s="378">
        <f>SUM(E215:I215)</f>
        <v>0</v>
      </c>
      <c r="K215" s="23"/>
      <c r="L215" s="37" t="s">
        <v>165</v>
      </c>
    </row>
    <row r="216" spans="2:14" ht="15" customHeight="1" x14ac:dyDescent="0.3">
      <c r="B216" s="19" t="s">
        <v>145</v>
      </c>
      <c r="C216" s="389" t="s">
        <v>692</v>
      </c>
      <c r="D216" s="371" t="str">
        <f t="shared" si="63"/>
        <v>EURO</v>
      </c>
      <c r="E216" s="365">
        <f>IF(DelkaProjektu&gt;=E$143,'3. Input Data Cloud'!$L8,0)</f>
        <v>0</v>
      </c>
      <c r="F216" s="365">
        <f>IF(DelkaProjektu&gt;=F$143,'3. Input Data Cloud'!$L8,0)</f>
        <v>0</v>
      </c>
      <c r="G216" s="365">
        <f>IF(DelkaProjektu&gt;=G$143,'3. Input Data Cloud'!$L8,0)</f>
        <v>0</v>
      </c>
      <c r="H216" s="365">
        <f>IF(DelkaProjektu&gt;=H$143,'3. Input Data Cloud'!$L8,0)</f>
        <v>0</v>
      </c>
      <c r="I216" s="365">
        <f>IF(DelkaProjektu&gt;=I$143,'3. Input Data Cloud'!$L8,0)</f>
        <v>0</v>
      </c>
      <c r="J216" s="420">
        <f>SUM(E216:I216)</f>
        <v>0</v>
      </c>
      <c r="K216" s="52"/>
      <c r="L216" s="37" t="s">
        <v>165</v>
      </c>
    </row>
    <row r="217" spans="2:14" ht="15" customHeight="1" x14ac:dyDescent="0.3">
      <c r="B217" s="21" t="s">
        <v>206</v>
      </c>
      <c r="C217" s="376" t="s">
        <v>693</v>
      </c>
      <c r="D217" s="377" t="str">
        <f t="shared" si="63"/>
        <v>EURO</v>
      </c>
      <c r="E217" s="378">
        <f>SUM(E218:E219)</f>
        <v>0</v>
      </c>
      <c r="F217" s="378">
        <f t="shared" ref="F217:I217" si="68">SUM(F218:F219)</f>
        <v>0</v>
      </c>
      <c r="G217" s="378">
        <f t="shared" si="68"/>
        <v>0</v>
      </c>
      <c r="H217" s="378">
        <f t="shared" si="68"/>
        <v>0</v>
      </c>
      <c r="I217" s="378">
        <f t="shared" si="68"/>
        <v>0</v>
      </c>
      <c r="J217" s="378">
        <f t="shared" si="54"/>
        <v>0</v>
      </c>
      <c r="K217" s="52"/>
      <c r="L217" s="37" t="s">
        <v>165</v>
      </c>
    </row>
    <row r="218" spans="2:14" ht="15" customHeight="1" x14ac:dyDescent="0.3">
      <c r="B218" s="19" t="s">
        <v>146</v>
      </c>
      <c r="C218" s="389" t="s">
        <v>694</v>
      </c>
      <c r="D218" s="371" t="str">
        <f t="shared" si="63"/>
        <v>EURO</v>
      </c>
      <c r="E218" s="365">
        <f>IF('3. Input Data Cloud'!$D$183="YES",'3. Input Data Cloud'!$L$186+'3. Input Data Cloud'!$L$189,IF('3. Input Data Cloud'!$D$183="NO",IF(DelkaProjektu&gt;=E$27,'3. Input Data Cloud'!$L$189/DelkaProjektu+'3. Input Data Cloud'!$L$186)))</f>
        <v>0</v>
      </c>
      <c r="F218" s="365">
        <f>IF(DelkaProjektu&gt;=F$143,'3. Input Data Cloud'!$L$190,0)</f>
        <v>0</v>
      </c>
      <c r="G218" s="365">
        <f>IF(DelkaProjektu&gt;=G$143,'3. Input Data Cloud'!$L$190,0)</f>
        <v>0</v>
      </c>
      <c r="H218" s="365">
        <f>IF(DelkaProjektu&gt;=H$143,'3. Input Data Cloud'!$L$190,0)</f>
        <v>0</v>
      </c>
      <c r="I218" s="365">
        <f>IF(DelkaProjektu&gt;=I$143,'3. Input Data Cloud'!$L$190,0)</f>
        <v>0</v>
      </c>
      <c r="J218" s="380">
        <f>SUM(E218:I218)</f>
        <v>0</v>
      </c>
      <c r="K218" s="52"/>
      <c r="L218" s="37" t="s">
        <v>165</v>
      </c>
    </row>
    <row r="219" spans="2:14" ht="15" customHeight="1" thickBot="1" x14ac:dyDescent="0.35">
      <c r="B219" s="19" t="s">
        <v>147</v>
      </c>
      <c r="C219" s="389" t="s">
        <v>833</v>
      </c>
      <c r="D219" s="371" t="str">
        <f t="shared" si="63"/>
        <v>EURO</v>
      </c>
      <c r="E219" s="365">
        <f>IF('3. Input Data Cloud'!$D$183="YES",'3. Input Data Cloud'!$L$194+'3. Input Data Cloud'!$L$197,IF('3. Input Data Cloud'!$D$183="NO",IF(DelkaProjektu&gt;=E$27,'3. Input Data Cloud'!$L$197/DelkaProjektu+'3. Input Data Cloud'!$L$194)))</f>
        <v>0</v>
      </c>
      <c r="F219" s="365">
        <f>IF(DelkaProjektu&gt;=F$143,'3. Input Data Cloud'!$L$198,0)</f>
        <v>0</v>
      </c>
      <c r="G219" s="365">
        <f>IF(DelkaProjektu&gt;=G$143,'3. Input Data Cloud'!$L$198,0)</f>
        <v>0</v>
      </c>
      <c r="H219" s="365">
        <f>IF(DelkaProjektu&gt;=H$143,'3. Input Data Cloud'!$L$198,0)</f>
        <v>0</v>
      </c>
      <c r="I219" s="365">
        <f>IF(DelkaProjektu&gt;=I$143,'3. Input Data Cloud'!$L$198,0)</f>
        <v>0</v>
      </c>
      <c r="J219" s="380">
        <f>SUM(E219:I219)</f>
        <v>0</v>
      </c>
      <c r="K219" s="52"/>
      <c r="L219" s="37" t="s">
        <v>165</v>
      </c>
    </row>
    <row r="220" spans="2:14" ht="27" customHeight="1" thickTop="1" thickBot="1" x14ac:dyDescent="0.35">
      <c r="B220" s="71"/>
      <c r="C220" s="421" t="s">
        <v>695</v>
      </c>
      <c r="D220" s="395" t="str">
        <f t="shared" si="63"/>
        <v>EURO</v>
      </c>
      <c r="E220" s="422">
        <f>E217+E215+E211+E206+E204+E199+E191+E170+E156+E147+E144</f>
        <v>0</v>
      </c>
      <c r="F220" s="422">
        <f t="shared" ref="F220:J220" si="69">F217+F215+F211+F206+F204+F199+F191+F170+F156+F147+F144</f>
        <v>0</v>
      </c>
      <c r="G220" s="422">
        <f t="shared" si="69"/>
        <v>0</v>
      </c>
      <c r="H220" s="422">
        <f t="shared" si="69"/>
        <v>0</v>
      </c>
      <c r="I220" s="422">
        <f t="shared" si="69"/>
        <v>0</v>
      </c>
      <c r="J220" s="422">
        <f t="shared" si="69"/>
        <v>0</v>
      </c>
      <c r="K220" s="52"/>
      <c r="L220" s="37"/>
    </row>
    <row r="221" spans="2:14" ht="15" thickTop="1" x14ac:dyDescent="0.3">
      <c r="B221" s="71"/>
      <c r="C221" s="423" t="s">
        <v>696</v>
      </c>
      <c r="D221" s="398" t="str">
        <f>D220</f>
        <v>EURO</v>
      </c>
      <c r="E221" s="399">
        <f>E220/1000</f>
        <v>0</v>
      </c>
      <c r="F221" s="399">
        <f>F220/1000</f>
        <v>0</v>
      </c>
      <c r="G221" s="399">
        <f t="shared" ref="G221" si="70">G220/1000</f>
        <v>0</v>
      </c>
      <c r="H221" s="399">
        <f t="shared" ref="H221" si="71">H220/1000</f>
        <v>0</v>
      </c>
      <c r="I221" s="399">
        <f t="shared" ref="I221" si="72">I220/1000</f>
        <v>0</v>
      </c>
      <c r="J221" s="338">
        <f>J220/1000</f>
        <v>0</v>
      </c>
      <c r="K221" s="52"/>
      <c r="L221" s="37"/>
    </row>
    <row r="222" spans="2:14" ht="15" thickBot="1" x14ac:dyDescent="0.35">
      <c r="B222" s="71"/>
      <c r="C222" s="424" t="s">
        <v>697</v>
      </c>
      <c r="D222" s="401" t="str">
        <f>D220</f>
        <v>EURO</v>
      </c>
      <c r="E222" s="402">
        <f t="shared" ref="E222:J222" si="73">E220/PocetUzivatelu</f>
        <v>0</v>
      </c>
      <c r="F222" s="402">
        <f t="shared" si="73"/>
        <v>0</v>
      </c>
      <c r="G222" s="402">
        <f t="shared" si="73"/>
        <v>0</v>
      </c>
      <c r="H222" s="402">
        <f t="shared" si="73"/>
        <v>0</v>
      </c>
      <c r="I222" s="402">
        <f t="shared" si="73"/>
        <v>0</v>
      </c>
      <c r="J222" s="403">
        <f t="shared" si="73"/>
        <v>0</v>
      </c>
      <c r="K222" s="52"/>
      <c r="L222" s="37"/>
    </row>
    <row r="223" spans="2:14" ht="15.6" thickTop="1" thickBot="1" x14ac:dyDescent="0.35">
      <c r="B223" s="71"/>
      <c r="C223" s="52"/>
      <c r="D223" s="52"/>
      <c r="E223" s="52"/>
      <c r="F223" s="52"/>
      <c r="G223" s="52"/>
      <c r="H223" s="52"/>
      <c r="I223" s="52"/>
      <c r="J223" s="406"/>
      <c r="K223" s="52"/>
      <c r="L223" s="37"/>
    </row>
    <row r="224" spans="2:14" ht="15" thickBot="1" x14ac:dyDescent="0.35">
      <c r="B224" s="71"/>
      <c r="C224" s="333" t="s">
        <v>698</v>
      </c>
      <c r="D224" s="334"/>
      <c r="E224" s="425">
        <f>E143</f>
        <v>1</v>
      </c>
      <c r="F224" s="425">
        <f t="shared" ref="F224:I224" si="74">F143</f>
        <v>2</v>
      </c>
      <c r="G224" s="425">
        <f t="shared" si="74"/>
        <v>3</v>
      </c>
      <c r="H224" s="425">
        <f t="shared" si="74"/>
        <v>4</v>
      </c>
      <c r="I224" s="425">
        <f t="shared" si="74"/>
        <v>5</v>
      </c>
      <c r="J224" s="426"/>
      <c r="K224" s="52"/>
      <c r="L224" s="37"/>
    </row>
    <row r="225" spans="2:14" x14ac:dyDescent="0.3">
      <c r="B225" s="71"/>
      <c r="C225" s="290" t="s">
        <v>699</v>
      </c>
      <c r="D225" s="427" t="s">
        <v>64</v>
      </c>
      <c r="E225" s="428">
        <v>1</v>
      </c>
      <c r="F225" s="428">
        <f>E225*NarustDiskUloziste+'4.TCO Calculation &amp; Comparsion'!E225</f>
        <v>1.1000000000000001</v>
      </c>
      <c r="G225" s="428">
        <f>F225*NarustDiskUloziste+'4.TCO Calculation &amp; Comparsion'!F225</f>
        <v>1.2100000000000002</v>
      </c>
      <c r="H225" s="428">
        <f>G225*NarustDiskUloziste+'4.TCO Calculation &amp; Comparsion'!G225</f>
        <v>1.3310000000000002</v>
      </c>
      <c r="I225" s="428">
        <f>H225*NarustDiskUloziste+'4.TCO Calculation &amp; Comparsion'!H225</f>
        <v>1.4641000000000002</v>
      </c>
      <c r="J225" s="429"/>
      <c r="K225" s="52"/>
      <c r="L225" s="37" t="s">
        <v>209</v>
      </c>
      <c r="M225" s="39"/>
      <c r="N225" s="39"/>
    </row>
    <row r="226" spans="2:14" x14ac:dyDescent="0.3">
      <c r="B226" s="71"/>
      <c r="C226" s="290" t="s">
        <v>700</v>
      </c>
      <c r="D226" s="427" t="s">
        <v>60</v>
      </c>
      <c r="E226" s="428">
        <f>VelikostUloziste</f>
        <v>0</v>
      </c>
      <c r="F226" s="428">
        <f>E226+(E226*NarustDiskUloziste)</f>
        <v>0</v>
      </c>
      <c r="G226" s="428">
        <f>F226+(F226*NarustDiskUloziste)</f>
        <v>0</v>
      </c>
      <c r="H226" s="428">
        <f>G226+(G226*NarustDiskUloziste)</f>
        <v>0</v>
      </c>
      <c r="I226" s="428">
        <f>H226+(H226*NarustDiskUloziste)</f>
        <v>0</v>
      </c>
      <c r="J226" s="429"/>
      <c r="K226" s="52"/>
      <c r="L226" s="39" t="s">
        <v>210</v>
      </c>
      <c r="M226" s="39"/>
      <c r="N226" s="39"/>
    </row>
    <row r="227" spans="2:14" x14ac:dyDescent="0.3">
      <c r="C227" s="290" t="s">
        <v>701</v>
      </c>
      <c r="D227" s="427" t="str">
        <f>'1.Initial Parameters'!$D$40</f>
        <v>item</v>
      </c>
      <c r="E227" s="430">
        <f>IF(DiskVelikost=0,0,(E$226+E$226*(1-DiskTab))/DiskVelikost)</f>
        <v>0</v>
      </c>
      <c r="F227" s="430">
        <f>IF(DiskVelikost=0,0,(F$226+F$226*(1-DiskTab))/DiskVelikost)</f>
        <v>0</v>
      </c>
      <c r="G227" s="430">
        <f>IF(DiskVelikost=0,0,(G$226+G$226*(1-DiskTab))/DiskVelikost)</f>
        <v>0</v>
      </c>
      <c r="H227" s="430">
        <f>IF(DiskVelikost=0,0,(H$226+H$226*(1-DiskTab))/DiskVelikost)</f>
        <v>0</v>
      </c>
      <c r="I227" s="430">
        <f>IF(DiskVelikost=0,0,(I$226+I$226*(1-DiskTab))/DiskVelikost)</f>
        <v>0</v>
      </c>
      <c r="J227" s="429"/>
      <c r="K227" s="52"/>
      <c r="L227" s="39" t="s">
        <v>210</v>
      </c>
      <c r="M227" s="39"/>
      <c r="N227" s="39"/>
    </row>
    <row r="228" spans="2:14" x14ac:dyDescent="0.3">
      <c r="C228" s="290" t="s">
        <v>702</v>
      </c>
      <c r="D228" s="427" t="str">
        <f>'1.Initial Parameters'!$D$40</f>
        <v>item</v>
      </c>
      <c r="E228" s="430">
        <f>IF(SANPocetDisku=0,0,ROUNDUP(E227/SANPocetDisku,0)*SANPocetJednotek)</f>
        <v>0</v>
      </c>
      <c r="F228" s="430">
        <f>IF(SANPocetDisku=0,0,ROUNDUP(F227/SANPocetDisku,0)*SANPocetJednotek)</f>
        <v>0</v>
      </c>
      <c r="G228" s="430">
        <f>IF(SANPocetDisku=0,0,ROUNDUP(G227/SANPocetDisku,0)*SANPocetJednotek)</f>
        <v>0</v>
      </c>
      <c r="H228" s="430">
        <f>IF(SANPocetDisku=0,0,ROUNDUP(H227/SANPocetDisku,0)*SANPocetJednotek)</f>
        <v>0</v>
      </c>
      <c r="I228" s="430">
        <f>IF(SANPocetDisku=0,0,ROUNDUP(I227/SANPocetDisku,0)*SANPocetJednotek)</f>
        <v>0</v>
      </c>
      <c r="J228" s="429"/>
      <c r="K228" s="52"/>
      <c r="L228" s="39" t="s">
        <v>211</v>
      </c>
      <c r="M228" s="39"/>
      <c r="N228" s="39"/>
    </row>
    <row r="229" spans="2:14" x14ac:dyDescent="0.3">
      <c r="L229" s="42"/>
    </row>
    <row r="230" spans="2:14" ht="15" customHeight="1" x14ac:dyDescent="0.3">
      <c r="C230" s="52"/>
      <c r="E230" s="52"/>
      <c r="F230" s="52"/>
      <c r="G230" s="52"/>
      <c r="H230" s="52"/>
      <c r="I230" s="52"/>
      <c r="J230" s="52"/>
      <c r="K230" s="52"/>
    </row>
    <row r="231" spans="2:14" ht="25.95" customHeight="1" x14ac:dyDescent="0.3">
      <c r="C231" s="726" t="s">
        <v>703</v>
      </c>
      <c r="D231" s="726"/>
      <c r="E231" s="726"/>
      <c r="F231" s="726"/>
      <c r="G231" s="726"/>
      <c r="H231" s="726"/>
      <c r="I231" s="726"/>
      <c r="J231" s="726"/>
      <c r="K231" s="52"/>
      <c r="L231" s="42"/>
    </row>
    <row r="232" spans="2:14" ht="18" customHeight="1" x14ac:dyDescent="0.3">
      <c r="C232" s="726" t="s">
        <v>704</v>
      </c>
      <c r="D232" s="726"/>
      <c r="E232" s="726"/>
      <c r="F232" s="726"/>
      <c r="G232" s="726"/>
      <c r="H232" s="726"/>
      <c r="I232" s="726"/>
      <c r="J232" s="726"/>
      <c r="K232" s="52"/>
    </row>
    <row r="237" spans="2:14" x14ac:dyDescent="0.3">
      <c r="C237" s="52"/>
      <c r="E237" s="52"/>
      <c r="F237" s="52"/>
      <c r="G237" s="52"/>
      <c r="H237" s="52"/>
      <c r="I237" s="52"/>
      <c r="J237" s="52" t="s">
        <v>155</v>
      </c>
      <c r="K237" s="52"/>
    </row>
  </sheetData>
  <sheetProtection algorithmName="SHA-512" hashValue="FTKaRR9lqHHjm750a3LLGzp03HmwrcTFMQ69avEw5AetOuyuQgAyBpJw+sD2QV+hExapE/ctxnd69MOKvNWzCg==" saltValue="akhrSxZxRrBLthEFgVuEGw==" spinCount="100000" sheet="1" objects="1" scenarios="1"/>
  <mergeCells count="2">
    <mergeCell ref="C231:J231"/>
    <mergeCell ref="C232:J232"/>
  </mergeCells>
  <phoneticPr fontId="51" type="noConversion"/>
  <conditionalFormatting sqref="J7">
    <cfRule type="cellIs" dxfId="10" priority="10" operator="equal">
      <formula>0</formula>
    </cfRule>
    <cfRule type="cellIs" dxfId="9" priority="13" operator="greaterThan">
      <formula>0</formula>
    </cfRule>
    <cfRule type="cellIs" dxfId="8" priority="14" operator="lessThan">
      <formula>0</formula>
    </cfRule>
  </conditionalFormatting>
  <conditionalFormatting sqref="J12">
    <cfRule type="cellIs" dxfId="7" priority="1" operator="equal">
      <formula>0</formula>
    </cfRule>
    <cfRule type="cellIs" dxfId="6" priority="2" operator="greaterThan">
      <formula>0</formula>
    </cfRule>
    <cfRule type="cellIs" dxfId="5" priority="3" operator="lessThan">
      <formula>0</formula>
    </cfRule>
  </conditionalFormatting>
  <conditionalFormatting sqref="J19:J20">
    <cfRule type="cellIs" dxfId="4" priority="4" operator="greaterThan">
      <formula>0</formula>
    </cfRule>
    <cfRule type="cellIs" dxfId="3" priority="5" operator="lessThan">
      <formula>0</formula>
    </cfRule>
    <cfRule type="cellIs" dxfId="2" priority="6" operator="equal">
      <formula>0</formula>
    </cfRule>
  </conditionalFormatting>
  <dataValidations count="1">
    <dataValidation type="list" allowBlank="1" showInputMessage="1" showErrorMessage="1" sqref="J3" xr:uid="{DACC629F-3C7C-48C7-BBF1-ED5FFD4EEB21}">
      <formula1>NákladyDPH</formula1>
    </dataValidation>
  </dataValidations>
  <printOptions horizontalCentered="1"/>
  <pageMargins left="0" right="0.70866141732283472" top="0.35433070866141736" bottom="0.15748031496062992" header="0" footer="0"/>
  <pageSetup paperSize="8" fitToHeight="10" orientation="landscape" r:id="rId1"/>
  <headerFooter>
    <oddFooter>&amp;L&amp;"Calibri,Obyčejné"&amp;9Výsledky porovnání on-premise a cloudového řešení pro XaaS&amp;C&amp;"Calibri,Obyčejné"&amp;9&amp;P/&amp;N</oddFooter>
  </headerFooter>
  <rowBreaks count="6" manualBreakCount="6">
    <brk id="21" max="10" man="1"/>
    <brk id="25" max="10" man="1"/>
    <brk id="68" max="10" man="1"/>
    <brk id="118" max="10" man="1"/>
    <brk id="141" max="10" man="1"/>
    <brk id="19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6E552-4927-4922-AE63-2CCE07C79734}">
  <sheetPr published="0">
    <pageSetUpPr fitToPage="1"/>
  </sheetPr>
  <dimension ref="A1:T26"/>
  <sheetViews>
    <sheetView zoomScaleNormal="100" workbookViewId="0">
      <selection activeCell="F18" sqref="F18"/>
    </sheetView>
  </sheetViews>
  <sheetFormatPr defaultRowHeight="13.8" x14ac:dyDescent="0.25"/>
  <cols>
    <col min="1" max="1" width="53.19921875" style="63" customWidth="1"/>
    <col min="2" max="2" width="25.3984375" style="63" customWidth="1"/>
    <col min="3" max="3" width="24.09765625" style="65" customWidth="1"/>
    <col min="4" max="5" width="9" style="65"/>
    <col min="6" max="6" width="9" style="64"/>
    <col min="7" max="7" width="17.8984375" style="64" customWidth="1"/>
    <col min="8" max="20" width="9" style="64"/>
  </cols>
  <sheetData>
    <row r="1" spans="1:3" ht="21" customHeight="1" x14ac:dyDescent="0.25">
      <c r="A1" s="431" t="s">
        <v>792</v>
      </c>
    </row>
    <row r="2" spans="1:3" ht="25.8" customHeight="1" x14ac:dyDescent="0.25"/>
    <row r="3" spans="1:3" ht="18.75" customHeight="1" x14ac:dyDescent="0.25">
      <c r="A3" s="432" t="s">
        <v>793</v>
      </c>
      <c r="B3" s="433">
        <f>DelkaProjektu</f>
        <v>5</v>
      </c>
    </row>
    <row r="4" spans="1:3" ht="18.75" customHeight="1" x14ac:dyDescent="0.25">
      <c r="A4" s="432" t="s">
        <v>261</v>
      </c>
      <c r="B4" s="433" t="str">
        <f>'1.Initial Parameters'!$D$4</f>
        <v>EURO</v>
      </c>
    </row>
    <row r="5" spans="1:3" ht="18.75" customHeight="1" x14ac:dyDescent="0.25">
      <c r="A5" s="434" t="s">
        <v>547</v>
      </c>
      <c r="B5" s="435" t="str">
        <f>'4.TCO Calculation &amp; Comparsion'!J3</f>
        <v>VAT included</v>
      </c>
    </row>
    <row r="6" spans="1:3" ht="19.5" customHeight="1" x14ac:dyDescent="0.25"/>
    <row r="7" spans="1:3" ht="19.5" customHeight="1" x14ac:dyDescent="0.25">
      <c r="A7" s="434" t="s">
        <v>550</v>
      </c>
      <c r="B7" s="435" t="s">
        <v>548</v>
      </c>
      <c r="C7" s="436" t="s">
        <v>549</v>
      </c>
    </row>
    <row r="8" spans="1:3" ht="25.5" customHeight="1" x14ac:dyDescent="0.25">
      <c r="A8" s="437" t="s">
        <v>551</v>
      </c>
      <c r="B8" s="438">
        <f>'4.TCO Calculation &amp; Comparsion'!J28</f>
        <v>0</v>
      </c>
      <c r="C8" s="439">
        <f>'4.TCO Calculation &amp; Comparsion'!J144</f>
        <v>0</v>
      </c>
    </row>
    <row r="9" spans="1:3" ht="25.5" customHeight="1" x14ac:dyDescent="0.25">
      <c r="A9" s="437" t="s">
        <v>794</v>
      </c>
      <c r="B9" s="438">
        <f>'4.TCO Calculation &amp; Comparsion'!J31</f>
        <v>0</v>
      </c>
      <c r="C9" s="439">
        <f>'4.TCO Calculation &amp; Comparsion'!J147</f>
        <v>0</v>
      </c>
    </row>
    <row r="10" spans="1:3" ht="25.5" customHeight="1" x14ac:dyDescent="0.25">
      <c r="A10" s="437" t="s">
        <v>795</v>
      </c>
      <c r="B10" s="438">
        <f>'4.TCO Calculation &amp; Comparsion'!J55</f>
        <v>0</v>
      </c>
      <c r="C10" s="439">
        <f>'4.TCO Calculation &amp; Comparsion'!J156</f>
        <v>0</v>
      </c>
    </row>
    <row r="11" spans="1:3" ht="25.5" customHeight="1" x14ac:dyDescent="0.25">
      <c r="A11" s="437" t="s">
        <v>552</v>
      </c>
      <c r="B11" s="438">
        <f>'4.TCO Calculation &amp; Comparsion'!J69</f>
        <v>0</v>
      </c>
      <c r="C11" s="439">
        <f>'4.TCO Calculation &amp; Comparsion'!J170</f>
        <v>0</v>
      </c>
    </row>
    <row r="12" spans="1:3" ht="25.5" customHeight="1" x14ac:dyDescent="0.25">
      <c r="A12" s="437" t="s">
        <v>553</v>
      </c>
      <c r="B12" s="438">
        <f>'4.TCO Calculation &amp; Comparsion'!J96</f>
        <v>0</v>
      </c>
      <c r="C12" s="439">
        <f>'4.TCO Calculation &amp; Comparsion'!J191</f>
        <v>0</v>
      </c>
    </row>
    <row r="13" spans="1:3" ht="25.5" customHeight="1" x14ac:dyDescent="0.25">
      <c r="A13" s="437" t="s">
        <v>554</v>
      </c>
      <c r="B13" s="438">
        <f>'4.TCO Calculation &amp; Comparsion'!J114</f>
        <v>0</v>
      </c>
      <c r="C13" s="439">
        <f>'4.TCO Calculation &amp; Comparsion'!J199</f>
        <v>0</v>
      </c>
    </row>
    <row r="14" spans="1:3" ht="25.5" customHeight="1" x14ac:dyDescent="0.25">
      <c r="A14" s="437" t="s">
        <v>555</v>
      </c>
      <c r="B14" s="438">
        <f>'4.TCO Calculation &amp; Comparsion'!J119</f>
        <v>0</v>
      </c>
      <c r="C14" s="439">
        <f>'4.TCO Calculation &amp; Comparsion'!J204</f>
        <v>0</v>
      </c>
    </row>
    <row r="15" spans="1:3" ht="25.5" customHeight="1" x14ac:dyDescent="0.25">
      <c r="A15" s="437" t="s">
        <v>556</v>
      </c>
      <c r="B15" s="438">
        <f>'4.TCO Calculation &amp; Comparsion'!J124</f>
        <v>0</v>
      </c>
      <c r="C15" s="439">
        <f>'4.TCO Calculation &amp; Comparsion'!J206</f>
        <v>0</v>
      </c>
    </row>
    <row r="16" spans="1:3" ht="25.5" customHeight="1" x14ac:dyDescent="0.25">
      <c r="A16" s="437" t="s">
        <v>796</v>
      </c>
      <c r="B16" s="438">
        <f>'4.TCO Calculation &amp; Comparsion'!J129</f>
        <v>0</v>
      </c>
      <c r="C16" s="439">
        <f>'4.TCO Calculation &amp; Comparsion'!J211</f>
        <v>0</v>
      </c>
    </row>
    <row r="17" spans="1:3" ht="25.5" customHeight="1" x14ac:dyDescent="0.25">
      <c r="A17" s="440" t="s">
        <v>797</v>
      </c>
      <c r="B17" s="438">
        <f>'4.TCO Calculation &amp; Comparsion'!J133</f>
        <v>0</v>
      </c>
      <c r="C17" s="439">
        <f>'4.TCO Calculation &amp; Comparsion'!J215</f>
        <v>0</v>
      </c>
    </row>
    <row r="18" spans="1:3" ht="25.5" customHeight="1" x14ac:dyDescent="0.25">
      <c r="A18" s="437" t="s">
        <v>557</v>
      </c>
      <c r="B18" s="438">
        <f>'4.TCO Calculation &amp; Comparsion'!J135</f>
        <v>0</v>
      </c>
      <c r="C18" s="439">
        <f>'4.TCO Calculation &amp; Comparsion'!J217</f>
        <v>0</v>
      </c>
    </row>
    <row r="19" spans="1:3" ht="25.5" customHeight="1" x14ac:dyDescent="0.25">
      <c r="A19" s="441" t="s">
        <v>522</v>
      </c>
      <c r="B19" s="442">
        <f>SUM(B8:B18)</f>
        <v>0</v>
      </c>
      <c r="C19" s="443">
        <f>SUM(C8:C18)</f>
        <v>0</v>
      </c>
    </row>
    <row r="21" spans="1:3" ht="18.75" customHeight="1" x14ac:dyDescent="0.25">
      <c r="A21" s="434" t="str">
        <f>_xlfn.CONCAT("The difference in ",JenotkaMěny)</f>
        <v>The difference in EURO</v>
      </c>
      <c r="B21" s="728">
        <f>(IF(B19&gt;=C19,B19-C19,C19-B19))</f>
        <v>0</v>
      </c>
      <c r="C21" s="728"/>
    </row>
    <row r="22" spans="1:3" ht="18.75" customHeight="1" x14ac:dyDescent="0.25">
      <c r="A22" s="434" t="s">
        <v>558</v>
      </c>
      <c r="B22" s="727" t="e">
        <f>(IF(B19&gt;=C19,B19-C19,C19-B19))/(IF(B19&gt;=C19,B19,C19))</f>
        <v>#DIV/0!</v>
      </c>
      <c r="C22" s="727"/>
    </row>
    <row r="23" spans="1:3" ht="18.75" customHeight="1" x14ac:dyDescent="0.25">
      <c r="A23" s="434" t="s">
        <v>798</v>
      </c>
      <c r="B23" s="728" t="str">
        <f>(IF(B19&gt;C19,C7,B7))</f>
        <v>ON-premise solution</v>
      </c>
      <c r="C23" s="728"/>
    </row>
    <row r="24" spans="1:3" ht="18.75" customHeight="1" x14ac:dyDescent="0.25">
      <c r="A24" s="434" t="s">
        <v>559</v>
      </c>
      <c r="B24" s="729" t="e">
        <f>IF(B22&lt;=0.02,"comparable solution",IF(B19&lt;C19,B7,C7))</f>
        <v>#DIV/0!</v>
      </c>
      <c r="C24" s="729"/>
    </row>
    <row r="25" spans="1:3" x14ac:dyDescent="0.25">
      <c r="B25" s="444" t="s">
        <v>790</v>
      </c>
      <c r="C25" s="445"/>
    </row>
    <row r="26" spans="1:3" ht="38.4" customHeight="1" x14ac:dyDescent="0.25">
      <c r="B26" s="730" t="s">
        <v>791</v>
      </c>
      <c r="C26" s="730"/>
    </row>
  </sheetData>
  <sheetProtection algorithmName="SHA-512" hashValue="dCrUM4qqm7a+RiGX4Q7FGseJzxdOQWxqfEYLLWexszRZIguVpBUglkDoeToxmQfojAYbp0R9F8Mb3oH1sA/Pyw==" saltValue="BXPZVCJH0dcXlXaRXeulyg==" spinCount="100000" sheet="1" objects="1" scenarios="1"/>
  <mergeCells count="5">
    <mergeCell ref="B22:C22"/>
    <mergeCell ref="B21:C21"/>
    <mergeCell ref="B23:C23"/>
    <mergeCell ref="B24:C24"/>
    <mergeCell ref="B26:C26"/>
  </mergeCells>
  <conditionalFormatting sqref="B7:B19">
    <cfRule type="expression" dxfId="1" priority="1">
      <formula>$B$19&lt;$C$19</formula>
    </cfRule>
  </conditionalFormatting>
  <conditionalFormatting sqref="C7:C19">
    <cfRule type="expression" dxfId="0" priority="3">
      <formula>$C$19&lt;$B$19</formula>
    </cfRule>
  </conditionalFormatting>
  <printOptions horizontalCentered="1"/>
  <pageMargins left="0.31496062992125984" right="0.31496062992125984" top="0.59055118110236227" bottom="0.59055118110236227" header="0.31496062992125984" footer="0.31496062992125984"/>
  <pageSetup paperSize="9" scale="87"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6EDB-1BD3-4A39-8CB1-E7B80933AB30}">
  <sheetPr published="0"/>
  <dimension ref="A1:B21"/>
  <sheetViews>
    <sheetView workbookViewId="0">
      <selection activeCell="F20" sqref="F20"/>
    </sheetView>
  </sheetViews>
  <sheetFormatPr defaultRowHeight="13.8" x14ac:dyDescent="0.25"/>
  <cols>
    <col min="1" max="1" width="18.59765625" style="64" customWidth="1"/>
    <col min="2" max="2" width="52" style="64" customWidth="1"/>
  </cols>
  <sheetData>
    <row r="1" spans="1:2" ht="23.25" customHeight="1" x14ac:dyDescent="0.25">
      <c r="A1" s="83" t="s">
        <v>560</v>
      </c>
      <c r="B1" s="83" t="s">
        <v>561</v>
      </c>
    </row>
    <row r="2" spans="1:2" ht="44.25" customHeight="1" x14ac:dyDescent="0.25">
      <c r="A2" s="77" t="s">
        <v>212</v>
      </c>
      <c r="B2" s="78" t="s">
        <v>562</v>
      </c>
    </row>
    <row r="3" spans="1:2" ht="23.25" customHeight="1" x14ac:dyDescent="0.25">
      <c r="A3" s="77" t="s">
        <v>213</v>
      </c>
      <c r="B3" s="78" t="s">
        <v>563</v>
      </c>
    </row>
    <row r="4" spans="1:2" ht="20.25" customHeight="1" x14ac:dyDescent="0.25">
      <c r="A4" s="78" t="s">
        <v>214</v>
      </c>
      <c r="B4" s="78" t="s">
        <v>314</v>
      </c>
    </row>
    <row r="5" spans="1:2" ht="20.25" customHeight="1" x14ac:dyDescent="0.25">
      <c r="A5" s="78" t="s">
        <v>215</v>
      </c>
      <c r="B5" s="78" t="s">
        <v>564</v>
      </c>
    </row>
    <row r="6" spans="1:2" ht="20.25" customHeight="1" x14ac:dyDescent="0.25">
      <c r="A6" s="78" t="s">
        <v>216</v>
      </c>
      <c r="B6" s="78" t="s">
        <v>217</v>
      </c>
    </row>
    <row r="7" spans="1:2" ht="20.25" customHeight="1" x14ac:dyDescent="0.25">
      <c r="A7" s="78" t="s">
        <v>831</v>
      </c>
      <c r="B7" s="78" t="s">
        <v>565</v>
      </c>
    </row>
    <row r="8" spans="1:2" ht="20.25" customHeight="1" x14ac:dyDescent="0.25">
      <c r="A8" s="78" t="s">
        <v>832</v>
      </c>
      <c r="B8" s="78" t="s">
        <v>566</v>
      </c>
    </row>
    <row r="9" spans="1:2" ht="20.25" customHeight="1" x14ac:dyDescent="0.25">
      <c r="A9" s="78" t="s">
        <v>24</v>
      </c>
      <c r="B9" s="78" t="s">
        <v>567</v>
      </c>
    </row>
    <row r="10" spans="1:2" ht="20.25" customHeight="1" x14ac:dyDescent="0.25">
      <c r="A10" s="78" t="s">
        <v>218</v>
      </c>
      <c r="B10" s="78" t="s">
        <v>568</v>
      </c>
    </row>
    <row r="11" spans="1:2" ht="30.6" customHeight="1" x14ac:dyDescent="0.25">
      <c r="A11" s="79" t="s">
        <v>227</v>
      </c>
      <c r="B11" s="79" t="s">
        <v>569</v>
      </c>
    </row>
    <row r="12" spans="1:2" ht="20.25" customHeight="1" x14ac:dyDescent="0.25">
      <c r="A12" s="78" t="s">
        <v>219</v>
      </c>
      <c r="B12" s="78" t="s">
        <v>570</v>
      </c>
    </row>
    <row r="13" spans="1:2" ht="20.25" customHeight="1" x14ac:dyDescent="0.25">
      <c r="A13" s="78" t="s">
        <v>220</v>
      </c>
      <c r="B13" s="78" t="s">
        <v>571</v>
      </c>
    </row>
    <row r="14" spans="1:2" ht="24.75" customHeight="1" x14ac:dyDescent="0.25">
      <c r="A14" s="78" t="s">
        <v>221</v>
      </c>
      <c r="B14" s="78" t="s">
        <v>572</v>
      </c>
    </row>
    <row r="15" spans="1:2" ht="20.25" customHeight="1" x14ac:dyDescent="0.25">
      <c r="A15" s="79" t="s">
        <v>226</v>
      </c>
      <c r="B15" s="79" t="s">
        <v>573</v>
      </c>
    </row>
    <row r="16" spans="1:2" ht="20.25" customHeight="1" x14ac:dyDescent="0.25">
      <c r="A16" s="78" t="s">
        <v>222</v>
      </c>
      <c r="B16" s="78" t="s">
        <v>574</v>
      </c>
    </row>
    <row r="17" spans="1:2" ht="21.75" customHeight="1" x14ac:dyDescent="0.25">
      <c r="A17" s="78" t="s">
        <v>25</v>
      </c>
      <c r="B17" s="78" t="s">
        <v>575</v>
      </c>
    </row>
    <row r="18" spans="1:2" ht="25.5" customHeight="1" x14ac:dyDescent="0.25">
      <c r="A18" s="78" t="s">
        <v>26</v>
      </c>
      <c r="B18" s="78" t="s">
        <v>576</v>
      </c>
    </row>
    <row r="19" spans="1:2" ht="21.75" customHeight="1" x14ac:dyDescent="0.25">
      <c r="A19" s="78" t="s">
        <v>61</v>
      </c>
      <c r="B19" s="78" t="s">
        <v>223</v>
      </c>
    </row>
    <row r="20" spans="1:2" ht="103.5" customHeight="1" x14ac:dyDescent="0.25">
      <c r="A20" s="80" t="s">
        <v>224</v>
      </c>
      <c r="B20" s="81" t="s">
        <v>577</v>
      </c>
    </row>
    <row r="21" spans="1:2" ht="21" customHeight="1" x14ac:dyDescent="0.25">
      <c r="A21" s="80" t="s">
        <v>225</v>
      </c>
      <c r="B21" s="82" t="s">
        <v>578</v>
      </c>
    </row>
  </sheetData>
  <sortState xmlns:xlrd2="http://schemas.microsoft.com/office/spreadsheetml/2017/richdata2" ref="A2:B21">
    <sortCondition ref="A2:A21"/>
  </sortState>
  <pageMargins left="0.7" right="0.7" top="0.78740157499999996" bottom="0.78740157499999996"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604A96185541428C0255D0008A0C61" ma:contentTypeVersion="4" ma:contentTypeDescription="Create a new document." ma:contentTypeScope="" ma:versionID="3b21dfc92539f5fac9313ee8147acf89">
  <xsd:schema xmlns:xsd="http://www.w3.org/2001/XMLSchema" xmlns:xs="http://www.w3.org/2001/XMLSchema" xmlns:p="http://schemas.microsoft.com/office/2006/metadata/properties" xmlns:ns2="1c346d9f-acbd-43d9-92f5-b223139b82d5" xmlns:ns3="d5632b84-dd29-4bfc-adf1-bc7bdf971249" targetNamespace="http://schemas.microsoft.com/office/2006/metadata/properties" ma:root="true" ma:fieldsID="a0ce466bd5bb39864820ae4c834d6f28" ns2:_="" ns3:_="">
    <xsd:import namespace="1c346d9f-acbd-43d9-92f5-b223139b82d5"/>
    <xsd:import namespace="d5632b84-dd29-4bfc-adf1-bc7bdf9712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346d9f-acbd-43d9-92f5-b223139b8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632b84-dd29-4bfc-adf1-bc7bdf9712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FBB3C-6503-4DE1-8DBD-9DBFFAD0475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C1C8760-746E-4A4B-8D0F-D0FF3689E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346d9f-acbd-43d9-92f5-b223139b82d5"/>
    <ds:schemaRef ds:uri="d5632b84-dd29-4bfc-adf1-bc7bdf971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1BDDC3-0798-4825-879B-7920CE31EB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100</vt:i4>
      </vt:variant>
    </vt:vector>
  </HeadingPairs>
  <TitlesOfParts>
    <vt:vector size="107" baseType="lpstr">
      <vt:lpstr>1.Initial Parameters</vt:lpstr>
      <vt:lpstr>tabulky-schovat</vt:lpstr>
      <vt:lpstr>2. Input Data On-Premise </vt:lpstr>
      <vt:lpstr>3. Input Data Cloud</vt:lpstr>
      <vt:lpstr>4.TCO Calculation &amp; Comparsion</vt:lpstr>
      <vt:lpstr>5. TCO Summary</vt:lpstr>
      <vt:lpstr>6. Glossary</vt:lpstr>
      <vt:lpstr>AnoNe</vt:lpstr>
      <vt:lpstr>AntivirPoplatekRokUzivatel</vt:lpstr>
      <vt:lpstr>AplikacniSWLicence</vt:lpstr>
      <vt:lpstr>AplikacniSWMaintenance</vt:lpstr>
      <vt:lpstr>ApliSWCloud</vt:lpstr>
      <vt:lpstr>ApliSWmaintenanceCloud</vt:lpstr>
      <vt:lpstr>BezpecDohled</vt:lpstr>
      <vt:lpstr>BezpecProjekt</vt:lpstr>
      <vt:lpstr>CelkemHodinPodpora</vt:lpstr>
      <vt:lpstr>CelkemHodinProvoz</vt:lpstr>
      <vt:lpstr>CelkemHodinRizeni</vt:lpstr>
      <vt:lpstr>CelkemNakladyCloud</vt:lpstr>
      <vt:lpstr>CelkemNakladyOnpremise</vt:lpstr>
      <vt:lpstr>CenaCloudIaaSRok</vt:lpstr>
      <vt:lpstr>CenaCloudLicenceUzivatelRok</vt:lpstr>
      <vt:lpstr>CenaElektriny</vt:lpstr>
      <vt:lpstr>cenaVlastnihoVyvoje</vt:lpstr>
      <vt:lpstr>CenaXaaSrok</vt:lpstr>
      <vt:lpstr>DatabazovySW</vt:lpstr>
      <vt:lpstr>DatabazovySWMaintenance</vt:lpstr>
      <vt:lpstr>DelkaProjektu</vt:lpstr>
      <vt:lpstr>DélkaProjektu</vt:lpstr>
      <vt:lpstr>DiskTab</vt:lpstr>
      <vt:lpstr>DiskVelikost</vt:lpstr>
      <vt:lpstr>ExterKonzultaceAnalyza</vt:lpstr>
      <vt:lpstr>ExterniKonektivita</vt:lpstr>
      <vt:lpstr>ExterniPoradenstviVerejnaZakazka</vt:lpstr>
      <vt:lpstr>Firewall</vt:lpstr>
      <vt:lpstr>FirewallMaint</vt:lpstr>
      <vt:lpstr>FTP</vt:lpstr>
      <vt:lpstr>HodinovaSazbaIT</vt:lpstr>
      <vt:lpstr>HodinSazbaIT2</vt:lpstr>
      <vt:lpstr>HodinSazbaIT3</vt:lpstr>
      <vt:lpstr>HWappliance</vt:lpstr>
      <vt:lpstr>HWuzivateleCloud</vt:lpstr>
      <vt:lpstr>IntegracniSW</vt:lpstr>
      <vt:lpstr>IntegracniSWMaintenance</vt:lpstr>
      <vt:lpstr>InterniKonektivita</vt:lpstr>
      <vt:lpstr>JenotkaMěny</vt:lpstr>
      <vt:lpstr>JinyPrvek</vt:lpstr>
      <vt:lpstr>JinyPrvekMaint</vt:lpstr>
      <vt:lpstr>JinyPrvekPorizeni</vt:lpstr>
      <vt:lpstr>KoncovyHWuziv</vt:lpstr>
      <vt:lpstr>konektivitaCloud</vt:lpstr>
      <vt:lpstr>KurzCZKEUR</vt:lpstr>
      <vt:lpstr>KyberBezpecCelkem</vt:lpstr>
      <vt:lpstr>LoadBalancerPorizeni</vt:lpstr>
      <vt:lpstr>maintenanceApliance</vt:lpstr>
      <vt:lpstr>Měna</vt:lpstr>
      <vt:lpstr>MěnaJednotka</vt:lpstr>
      <vt:lpstr>MiddleJinySW</vt:lpstr>
      <vt:lpstr>MiddleJinySWMaintenance</vt:lpstr>
      <vt:lpstr>NákladyDPH</vt:lpstr>
      <vt:lpstr>NarustDiskUloziste</vt:lpstr>
      <vt:lpstr>'1.Initial Parameters'!Oblast_tisku</vt:lpstr>
      <vt:lpstr>'2. Input Data On-Premise '!Oblast_tisku</vt:lpstr>
      <vt:lpstr>'3. Input Data Cloud'!Oblast_tisku</vt:lpstr>
      <vt:lpstr>'4.TCO Calculation &amp; Comparsion'!Oblast_tisku</vt:lpstr>
      <vt:lpstr>OnExterniPoradenstviVerejnaZakazka</vt:lpstr>
      <vt:lpstr>OnPremExterniPoradenstviVerejnaZakazka</vt:lpstr>
      <vt:lpstr>OperacniSystem</vt:lpstr>
      <vt:lpstr>OSPoplatekRok</vt:lpstr>
      <vt:lpstr>PocetUzivatelu</vt:lpstr>
      <vt:lpstr>PočetLet</vt:lpstr>
      <vt:lpstr>pof</vt:lpstr>
      <vt:lpstr>pr</vt:lpstr>
      <vt:lpstr>ProcentoInterniZdrojePremiseNAKUP</vt:lpstr>
      <vt:lpstr>RackUmisteni</vt:lpstr>
      <vt:lpstr>RackyPorizeni</vt:lpstr>
      <vt:lpstr>RouterPorizeni</vt:lpstr>
      <vt:lpstr>SANCenaTB</vt:lpstr>
      <vt:lpstr>SANPocetDisku</vt:lpstr>
      <vt:lpstr>SANPocetJednotek</vt:lpstr>
      <vt:lpstr>SANTbCena</vt:lpstr>
      <vt:lpstr>ServerCena</vt:lpstr>
      <vt:lpstr>ServerUdrzba</vt:lpstr>
      <vt:lpstr>SpotrebaElektrinyOstatni</vt:lpstr>
      <vt:lpstr>SpotrebaElektrinyServerRok</vt:lpstr>
      <vt:lpstr>SpotrebaElektrinyUlozisteRok</vt:lpstr>
      <vt:lpstr>SWappliance</vt:lpstr>
      <vt:lpstr>SWInfrastrukturaMaintenance</vt:lpstr>
      <vt:lpstr>SWInfrastrukturaNakup</vt:lpstr>
      <vt:lpstr>SwitchPorizeni</vt:lpstr>
      <vt:lpstr>SWkoncovehoHW</vt:lpstr>
      <vt:lpstr>SWkoncovehoUzivateleCloud</vt:lpstr>
      <vt:lpstr>tabulka</vt:lpstr>
      <vt:lpstr>Typrole</vt:lpstr>
      <vt:lpstr>VelikostDatabaze</vt:lpstr>
      <vt:lpstr>VelikostUloziste</vt:lpstr>
      <vt:lpstr>VyvojNakup</vt:lpstr>
      <vt:lpstr>VyvojSW</vt:lpstr>
      <vt:lpstr>vyvojSWmanten</vt:lpstr>
      <vt:lpstr>WindowsPoplatekRokUzivatel</vt:lpstr>
      <vt:lpstr>WindowsSrvPoplatekRok</vt:lpstr>
      <vt:lpstr>ZalohaTbCena</vt:lpstr>
      <vt:lpstr>ZalohaTBCenaHW</vt:lpstr>
      <vt:lpstr>ZivotHWaSWuzivatele</vt:lpstr>
      <vt:lpstr>ZivotnostServeru</vt:lpstr>
      <vt:lpstr>ZivotnostUzivatelskychZarizeni</vt:lpstr>
      <vt:lpstr>ŽivotnostUživatelskýchZařízení</vt:lpstr>
    </vt:vector>
  </TitlesOfParts>
  <Manager/>
  <Company>eGC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eGC team Group E</dc:creator>
  <cp:keywords/>
  <dc:description/>
  <cp:lastModifiedBy>Jamrichová Judita</cp:lastModifiedBy>
  <cp:revision/>
  <cp:lastPrinted>2023-08-09T13:56:19Z</cp:lastPrinted>
  <dcterms:created xsi:type="dcterms:W3CDTF">2016-01-25T14:16:49Z</dcterms:created>
  <dcterms:modified xsi:type="dcterms:W3CDTF">2023-10-27T17:46:18Z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0x01010051604A96185541428C0255D0008A0C61</vt:lpwstr>
  </property>
  <property fmtid="{D5CDD505-2E9C-101B-9397-08002B2CF9AE}" pid="3" name="MSIP_Label_8b33fbad-f6f4-45bd-b8c1-f46f3711dcc6_Enabled">
    <vt:lpwstr>True</vt:lpwstr>
  </property>
  <property fmtid="{D5CDD505-2E9C-101B-9397-08002B2CF9AE}" pid="4" name="MSIP_Label_8b33fbad-f6f4-45bd-b8c1-f46f3711dcc6_SiteId">
    <vt:lpwstr>8ef2ef64-61e6-4033-9f7f-48ccd5d03c90</vt:lpwstr>
  </property>
  <property fmtid="{D5CDD505-2E9C-101B-9397-08002B2CF9AE}" pid="5" name="MSIP_Label_8b33fbad-f6f4-45bd-b8c1-f46f3711dcc6_Owner">
    <vt:lpwstr>judita.jamrichova@spcss.cz</vt:lpwstr>
  </property>
  <property fmtid="{D5CDD505-2E9C-101B-9397-08002B2CF9AE}" pid="6" name="MSIP_Label_8b33fbad-f6f4-45bd-b8c1-f46f3711dcc6_SetDate">
    <vt:lpwstr>2018-08-16T13:06:27.4244779Z</vt:lpwstr>
  </property>
  <property fmtid="{D5CDD505-2E9C-101B-9397-08002B2CF9AE}" pid="7" name="MSIP_Label_8b33fbad-f6f4-45bd-b8c1-f46f3711dcc6_Name">
    <vt:lpwstr>Veřejné</vt:lpwstr>
  </property>
  <property fmtid="{D5CDD505-2E9C-101B-9397-08002B2CF9AE}" pid="8" name="MSIP_Label_8b33fbad-f6f4-45bd-b8c1-f46f3711dcc6_Application">
    <vt:lpwstr>Microsoft Azure Information Protection</vt:lpwstr>
  </property>
  <property fmtid="{D5CDD505-2E9C-101B-9397-08002B2CF9AE}" pid="9" name="MSIP_Label_8b33fbad-f6f4-45bd-b8c1-f46f3711dcc6_Extended_MSFT_Method">
    <vt:lpwstr>Automatic</vt:lpwstr>
  </property>
  <property fmtid="{D5CDD505-2E9C-101B-9397-08002B2CF9AE}" pid="10" name="Sensitivity">
    <vt:lpwstr>Veřejné</vt:lpwstr>
  </property>
</Properties>
</file>